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Z\0Profesor asistente\PRACTICOS\En edición\"/>
    </mc:Choice>
  </mc:AlternateContent>
  <bookViews>
    <workbookView xWindow="240" yWindow="75" windowWidth="11520" windowHeight="2145"/>
  </bookViews>
  <sheets>
    <sheet name="Hoja1" sheetId="1" r:id="rId1"/>
    <sheet name="Hoja2" sheetId="2" r:id="rId2"/>
    <sheet name="Hoja3" sheetId="3" r:id="rId3"/>
  </sheets>
  <calcPr calcId="152511"/>
</workbook>
</file>

<file path=xl/calcChain.xml><?xml version="1.0" encoding="utf-8"?>
<calcChain xmlns="http://schemas.openxmlformats.org/spreadsheetml/2006/main">
  <c r="C160" i="1" l="1"/>
  <c r="C163" i="1" s="1"/>
  <c r="F143" i="1"/>
  <c r="E147" i="1" s="1"/>
  <c r="C138" i="1"/>
  <c r="F141" i="1" s="1"/>
  <c r="D112" i="1"/>
  <c r="D111" i="1"/>
  <c r="E124" i="1"/>
  <c r="C79" i="1"/>
  <c r="C78" i="1"/>
  <c r="E86" i="1" s="1"/>
  <c r="C73" i="1"/>
  <c r="F73" i="1" s="1"/>
  <c r="E66" i="1"/>
  <c r="C67" i="1"/>
  <c r="F68" i="1" s="1"/>
  <c r="C54" i="1"/>
  <c r="C53" i="1"/>
  <c r="C51" i="1"/>
  <c r="C50" i="1"/>
  <c r="D58" i="1" s="1"/>
  <c r="C49" i="1"/>
  <c r="D40" i="1"/>
  <c r="D39" i="1"/>
  <c r="C40" i="1"/>
  <c r="C39" i="1"/>
  <c r="K35" i="1"/>
  <c r="D25" i="1"/>
  <c r="D28" i="1" s="1"/>
  <c r="I18" i="1"/>
  <c r="C20" i="1"/>
  <c r="G18" i="1" s="1"/>
  <c r="C13" i="1"/>
  <c r="H9" i="1"/>
  <c r="E9" i="1"/>
  <c r="G9" i="1" s="1"/>
  <c r="I8" i="1"/>
  <c r="E8" i="1" s="1"/>
  <c r="G8" i="1" s="1"/>
  <c r="H8" i="1"/>
  <c r="I7" i="1"/>
  <c r="E7" i="1" s="1"/>
  <c r="G7" i="1" s="1"/>
  <c r="H7" i="1"/>
  <c r="H6" i="1"/>
  <c r="E6" i="1"/>
  <c r="G6" i="1" s="1"/>
  <c r="H5" i="1"/>
  <c r="E5" i="1"/>
  <c r="G5" i="1" s="1"/>
  <c r="E146" i="1" l="1"/>
  <c r="F121" i="1"/>
  <c r="D59" i="1"/>
  <c r="F86" i="1"/>
  <c r="H49" i="1"/>
  <c r="H50" i="1" s="1"/>
  <c r="E83" i="1"/>
  <c r="F83" i="1" s="1"/>
  <c r="E85" i="1"/>
  <c r="F85" i="1" s="1"/>
  <c r="E82" i="1"/>
  <c r="F82" i="1" s="1"/>
  <c r="E84" i="1"/>
  <c r="F84" i="1" s="1"/>
</calcChain>
</file>

<file path=xl/sharedStrings.xml><?xml version="1.0" encoding="utf-8"?>
<sst xmlns="http://schemas.openxmlformats.org/spreadsheetml/2006/main" count="223" uniqueCount="173">
  <si>
    <r>
      <t xml:space="preserve">Materiales de la Industria Química
</t>
    </r>
    <r>
      <rPr>
        <sz val="16"/>
        <color theme="1"/>
        <rFont val="Calibri"/>
        <family val="2"/>
        <scheme val="minor"/>
      </rPr>
      <t xml:space="preserve">Cuadernillo de Trabajos Prácticos
</t>
    </r>
    <r>
      <rPr>
        <sz val="11"/>
        <color theme="1"/>
        <rFont val="Calibri"/>
        <family val="2"/>
        <scheme val="minor"/>
      </rPr>
      <t>Rev 2014</t>
    </r>
    <r>
      <rPr>
        <sz val="20"/>
        <color theme="1"/>
        <rFont val="Calibri"/>
        <family val="2"/>
        <scheme val="minor"/>
      </rPr>
      <t xml:space="preserve">
</t>
    </r>
  </si>
  <si>
    <t xml:space="preserve">a) Calcule la energía térmica necesaria para aumentar la temperatura de 1Kg y a 1 Mol de los siguientes materiales de 0°C a 100°C: aluminio, oro, cloruro de sodio, vidrio, polietileno.
b) ¿Qué observa en los calores molares utilizados?
c) Calcule el aumento de temperatura que experimentará una masa de 11 Kg de latón si se le entregan 69 KJ de calor.
</t>
  </si>
  <si>
    <t>Q = m Cp (T2-T1)</t>
  </si>
  <si>
    <t>Material</t>
  </si>
  <si>
    <t>Cp</t>
  </si>
  <si>
    <t>Aluminio</t>
  </si>
  <si>
    <t>Oro</t>
  </si>
  <si>
    <t>[J/mol K]</t>
  </si>
  <si>
    <t>[J/kg K]</t>
  </si>
  <si>
    <t xml:space="preserve">J para 1 mol y 100°K </t>
  </si>
  <si>
    <t xml:space="preserve">J para 1 Kg y 100°K </t>
  </si>
  <si>
    <t>PM [g/mol]</t>
  </si>
  <si>
    <t>Cloruro de sodio</t>
  </si>
  <si>
    <t>Vidrio</t>
  </si>
  <si>
    <t>Polietileno</t>
  </si>
  <si>
    <t>T2-T1</t>
  </si>
  <si>
    <t>a</t>
  </si>
  <si>
    <t>b</t>
  </si>
  <si>
    <t>c</t>
  </si>
  <si>
    <t>?</t>
  </si>
  <si>
    <r>
      <rPr>
        <sz val="7"/>
        <color theme="1"/>
        <rFont val="Times New Roman"/>
        <family val="1"/>
      </rPr>
      <t xml:space="preserve"> </t>
    </r>
    <r>
      <rPr>
        <sz val="10"/>
        <color theme="1"/>
        <rFont val="Calibri"/>
        <family val="2"/>
      </rPr>
      <t>En el caso del cobre la capacidad calorífica a volumen constante a 20 K es de  0,38 J/mol-K y la temperatura de Debye es de 340K. Estime el calor específico a 40K y 400K</t>
    </r>
  </si>
  <si>
    <r>
      <t>Cv = K T</t>
    </r>
    <r>
      <rPr>
        <vertAlign val="superscript"/>
        <sz val="11"/>
        <color theme="1"/>
        <rFont val="Calibri"/>
        <family val="2"/>
        <scheme val="minor"/>
      </rPr>
      <t>3</t>
    </r>
  </si>
  <si>
    <r>
      <t>para T&lt;</t>
    </r>
    <r>
      <rPr>
        <sz val="11"/>
        <color theme="1"/>
        <rFont val="Calibri"/>
        <family val="2"/>
      </rPr>
      <t>θ</t>
    </r>
  </si>
  <si>
    <t>a 40K</t>
  </si>
  <si>
    <r>
      <t>K = Cv/T</t>
    </r>
    <r>
      <rPr>
        <vertAlign val="superscript"/>
        <sz val="11"/>
        <color theme="1"/>
        <rFont val="Calibri"/>
        <family val="2"/>
        <scheme val="minor"/>
      </rPr>
      <t xml:space="preserve">3 </t>
    </r>
    <r>
      <rPr>
        <sz val="11"/>
        <color theme="1"/>
        <rFont val="Calibri"/>
        <family val="2"/>
        <scheme val="minor"/>
      </rPr>
      <t>=</t>
    </r>
  </si>
  <si>
    <t>Cv=3· 8,31 J/mol-K = 24,94 j/mol-K = 392,5 J/Kg-k</t>
  </si>
  <si>
    <t>J/mol-K</t>
  </si>
  <si>
    <t>Pm Cu  =</t>
  </si>
  <si>
    <t>63,5 g/mol</t>
  </si>
  <si>
    <t>a 400 K la podemos estimar como 3 R</t>
  </si>
  <si>
    <t>J/Kg-K</t>
  </si>
  <si>
    <r>
      <rPr>
        <sz val="7"/>
        <color theme="1"/>
        <rFont val="Times New Roman"/>
        <family val="1"/>
      </rPr>
      <t xml:space="preserve">  </t>
    </r>
    <r>
      <rPr>
        <sz val="10"/>
        <color theme="1"/>
        <rFont val="Calibri"/>
        <family val="2"/>
      </rPr>
      <t xml:space="preserve">Una barra de aleación de 1 m de largo es calentado de 20 a 100°C y experimenta un aumento de longitud de 10 mm. a) Calcule su coeficiente de dilatación lineal. b) Si la misma barra es enfriada de 40 a -9°C: ¿Cuál será su longitud a esa temperatura? </t>
    </r>
  </si>
  <si>
    <t>1/°C</t>
  </si>
  <si>
    <t>α = (L1-L0)/L0(T2-T1)=</t>
  </si>
  <si>
    <t>La barra a 40°C mediría mas de 1 m de longitud, por lo que enfriada a 9°C equivale a hacer enfriar la barra de 1m a 20°C hasta los 9°C</t>
  </si>
  <si>
    <t>m</t>
  </si>
  <si>
    <t>Hasta que temperatura deben ser calentados una barra de tungsteno de 15,025 mm de diámetro y una placa de acero 1025 con un agujero circular de 15,000 mm de diámetro para que la barra se ajuste perfectamente al hueco si la temperatura inicial es de 25°C.</t>
  </si>
  <si>
    <r>
      <t xml:space="preserve">L1 = L0 * (1+ </t>
    </r>
    <r>
      <rPr>
        <sz val="11"/>
        <color theme="1"/>
        <rFont val="Calibri"/>
        <family val="2"/>
      </rPr>
      <t>α (T2-T1)) =</t>
    </r>
  </si>
  <si>
    <t>Igualando y despejando T2 tenemos</t>
  </si>
  <si>
    <t>lW= lA --&gt; T = (lA0-lw0+25ºC*(lw0*αW-lA0*αA)) / (lw0*αW-lA0*αA)</t>
  </si>
  <si>
    <t>o gráficamente</t>
  </si>
  <si>
    <t>T</t>
  </si>
  <si>
    <t>LW</t>
  </si>
  <si>
    <t>LA</t>
  </si>
  <si>
    <t>αW=4,5x10-6/ºC</t>
  </si>
  <si>
    <t>αA=12,5x10-6/ºC</t>
  </si>
  <si>
    <t>°C</t>
  </si>
  <si>
    <r>
      <t xml:space="preserve">Lw = Lw0 * (1+ </t>
    </r>
    <r>
      <rPr>
        <sz val="11"/>
        <color theme="1"/>
        <rFont val="Calibri"/>
        <family val="2"/>
      </rPr>
      <t>αw (T2-T1) )</t>
    </r>
  </si>
  <si>
    <t>LA = LA0 * (1+ αA (T2-T1) )</t>
  </si>
  <si>
    <r>
      <t>a)¿Qué potencia debe tener una pava eléctrica para calentar el agua contenida en su interior de 25°C a 80°C en 3 minutos? (Desprecie la perdida de calor del aparato en este proceso). Y cuando la temperatura externa es de 25°C. b)¿Qué potencia es necesaria para mantenerla a 80°C?  El aparato es cilíndrico, de acero inoxidable con paredes de 3 mm de espesor. Su diámetro interno es de 12 cm y su altura 9 cm. La conductividad térmica del acero es 16,3 W/m-K, la capacidad calorífica del agua a esa temperatura es 4196 J/Kg-K y su densidad es a 25°C 997 Kg/m</t>
    </r>
    <r>
      <rPr>
        <vertAlign val="superscript"/>
        <sz val="10"/>
        <color theme="1"/>
        <rFont val="Calibri"/>
        <family val="2"/>
      </rPr>
      <t>3</t>
    </r>
    <r>
      <rPr>
        <sz val="10"/>
        <color theme="1"/>
        <rFont val="Calibri"/>
        <family val="2"/>
      </rPr>
      <t xml:space="preserve"> y a 80°C 972 Kg/m</t>
    </r>
    <r>
      <rPr>
        <vertAlign val="superscript"/>
        <sz val="10"/>
        <color theme="1"/>
        <rFont val="Calibri"/>
        <family val="2"/>
      </rPr>
      <t>3</t>
    </r>
    <r>
      <rPr>
        <sz val="10"/>
        <color theme="1"/>
        <rFont val="Calibri"/>
        <family val="2"/>
      </rPr>
      <t>.  c) ¿Cómo calcularía el apartado (a) teniendo en cuenta la perdida de calor?</t>
    </r>
  </si>
  <si>
    <t xml:space="preserve">t </t>
  </si>
  <si>
    <t>min</t>
  </si>
  <si>
    <t>Dens agua</t>
  </si>
  <si>
    <t>Kg/m3</t>
  </si>
  <si>
    <t>J/kg-K</t>
  </si>
  <si>
    <t>Vol pava</t>
  </si>
  <si>
    <t>m3</t>
  </si>
  <si>
    <t>Area pava</t>
  </si>
  <si>
    <t>m2</t>
  </si>
  <si>
    <t>Q = m Cp (T2-T1)=</t>
  </si>
  <si>
    <t>P = Q/t =</t>
  </si>
  <si>
    <t>J</t>
  </si>
  <si>
    <t>J/s o W</t>
  </si>
  <si>
    <t>q=K/x*(T2-T1)=</t>
  </si>
  <si>
    <t>x</t>
  </si>
  <si>
    <t>k</t>
  </si>
  <si>
    <t>W/m-k</t>
  </si>
  <si>
    <t>P =q*Area pava=</t>
  </si>
  <si>
    <t>J/S-m2</t>
  </si>
  <si>
    <t>J/S</t>
  </si>
  <si>
    <t xml:space="preserve">Se tiene una barra de latón de 0,35 m de longitud que se calienta de 15°C hasta 80°C mientras sus extremos se mantienen en posiciones rígidas.
a) Determine el tipo y magnitud de las tensiones que se originan.
b) Si la barra tiene 1m ¿cuál será la magnitud de la tensión?
c) Si la barra del apartado a se lleva de 15°C a -15°C cual será la magnitud de la tensión y de qué tipo será?.
</t>
  </si>
  <si>
    <t>L0</t>
  </si>
  <si>
    <t>E</t>
  </si>
  <si>
    <t>Pa</t>
  </si>
  <si>
    <r>
      <t xml:space="preserve">ε = </t>
    </r>
    <r>
      <rPr>
        <sz val="11"/>
        <color theme="1"/>
        <rFont val="Calibri"/>
        <family val="2"/>
      </rPr>
      <t>α (T2-T1)</t>
    </r>
  </si>
  <si>
    <t>α</t>
  </si>
  <si>
    <t>La tensión será igual a la del apartado (a) pues es independiente de la longitud</t>
  </si>
  <si>
    <t>tipo: compresión</t>
  </si>
  <si>
    <t>tipo: tracción</t>
  </si>
  <si>
    <t xml:space="preserve">Los extremos de una barra cilíndrica de 6,4 mm de diámetro y 254 mm de longitud se colocan en soportes rígidos. La barra está libre de tensiones a 20°C y se enfría a -60°C. Si los soportes toleran un máximo de 138MPa. ¿Qué material elegiría para fabricar la barra?
Posibles materiales: aluminio, tungsteno, cobre, latón, acero 1025
</t>
  </si>
  <si>
    <t>Tungsteno</t>
  </si>
  <si>
    <t>S =</t>
  </si>
  <si>
    <t>Cobre</t>
  </si>
  <si>
    <t>Acero 1025</t>
  </si>
  <si>
    <t>Latón</t>
  </si>
  <si>
    <t>E [Pa]</t>
  </si>
  <si>
    <t>α [1/°C]</t>
  </si>
  <si>
    <t>S [Pa]</t>
  </si>
  <si>
    <t>T2-T1=</t>
  </si>
  <si>
    <t>Smax</t>
  </si>
  <si>
    <t>Elegible?</t>
  </si>
  <si>
    <t xml:space="preserve">a) ¿Cuáles son las unidades de la resistencia al choque térmico TSR?
b) Ordene los siguientes materiales de acuerdo a su TSR: óxido de magnesio, espinela, sílice vítrea, vidrio al sodio y calcio. Tome la resistencia a la fractura igual al módulo de rotura.
</t>
  </si>
  <si>
    <r>
      <t>TSR = k/</t>
    </r>
    <r>
      <rPr>
        <sz val="11"/>
        <color theme="1"/>
        <rFont val="Calibri"/>
        <family val="2"/>
      </rPr>
      <t>α * S/E</t>
    </r>
  </si>
  <si>
    <t xml:space="preserve">TSR = J/s-m </t>
  </si>
  <si>
    <t xml:space="preserve">Material </t>
  </si>
  <si>
    <t xml:space="preserve">E Pa </t>
  </si>
  <si>
    <t xml:space="preserve">α 1/ºC </t>
  </si>
  <si>
    <t xml:space="preserve">σf Pa </t>
  </si>
  <si>
    <t xml:space="preserve">MgO </t>
  </si>
  <si>
    <t xml:space="preserve">Espinela </t>
  </si>
  <si>
    <t xml:space="preserve">Silice Vit </t>
  </si>
  <si>
    <t xml:space="preserve">Vidrio NaCa </t>
  </si>
  <si>
    <t xml:space="preserve">k j/m-K </t>
  </si>
  <si>
    <t xml:space="preserve">TSR </t>
  </si>
  <si>
    <t>Clasif</t>
  </si>
  <si>
    <t>B</t>
  </si>
  <si>
    <t>C</t>
  </si>
  <si>
    <t>A</t>
  </si>
  <si>
    <t>D</t>
  </si>
  <si>
    <t xml:space="preserve">Una placa de 30 cm de longitud se fabrica a partir de dos láminas de 30 x 2 x 0,2 cm (largo  x ancho x espesor) de distintos materiales. Estas se sueldan por presión y temperatura una sobre la otra. La temperatura de soldado es de 650°C. Si la placa está compuesto de una lámina de tungsteno y otra de cobre:
a) ¿Cuál será la magnitud de la tensión y el tipo de esta en cada semilámina a 20°C y en sentido longitudinal? (suponga que la lámina no se deforma en ningún otro sentido)
b) ¿Cuál será la longitud final de la placa y cuanto sería si fuese de un solo material?
</t>
  </si>
  <si>
    <t>X: longitud de la placa compuesta</t>
  </si>
  <si>
    <t>W: longitud de la placa si fuera de tungsteno</t>
  </si>
  <si>
    <t>Cu longitud de la placa si fuera de cobre</t>
  </si>
  <si>
    <r>
      <rPr>
        <sz val="11"/>
        <color theme="1"/>
        <rFont val="Calibri"/>
        <family val="2"/>
      </rPr>
      <t>α</t>
    </r>
    <r>
      <rPr>
        <sz val="11"/>
        <color theme="1"/>
        <rFont val="Calibri"/>
        <family val="2"/>
        <scheme val="minor"/>
      </rPr>
      <t>Cu =</t>
    </r>
  </si>
  <si>
    <r>
      <rPr>
        <sz val="11"/>
        <color theme="1"/>
        <rFont val="Calibri"/>
        <family val="2"/>
      </rPr>
      <t>α</t>
    </r>
    <r>
      <rPr>
        <sz val="11"/>
        <color theme="1"/>
        <rFont val="Calibri"/>
        <family val="2"/>
        <scheme val="minor"/>
      </rPr>
      <t>w =</t>
    </r>
  </si>
  <si>
    <t>La posición de equilibrio estará dada por las fuerzas que cada placa elerza sobre la otra</t>
  </si>
  <si>
    <t>Como Las areas transversales de ambas placas son iguales podemos escribir</t>
  </si>
  <si>
    <r>
      <t>W = α</t>
    </r>
    <r>
      <rPr>
        <vertAlign val="subscript"/>
        <sz val="11"/>
        <color theme="1"/>
        <rFont val="Calibri"/>
        <family val="2"/>
        <scheme val="minor"/>
      </rPr>
      <t>W</t>
    </r>
    <r>
      <rPr>
        <sz val="11"/>
        <color theme="1"/>
        <rFont val="Calibri"/>
        <family val="2"/>
        <scheme val="minor"/>
      </rPr>
      <t xml:space="preserve"> * (Tf-T0) *L0 + L0 =</t>
    </r>
  </si>
  <si>
    <t>cm</t>
  </si>
  <si>
    <r>
      <t>Cu = α</t>
    </r>
    <r>
      <rPr>
        <vertAlign val="subscript"/>
        <sz val="11"/>
        <color theme="1"/>
        <rFont val="Calibri"/>
        <family val="2"/>
        <scheme val="minor"/>
      </rPr>
      <t>Cu</t>
    </r>
    <r>
      <rPr>
        <sz val="11"/>
        <color theme="1"/>
        <rFont val="Calibri"/>
        <family val="2"/>
        <scheme val="minor"/>
      </rPr>
      <t xml:space="preserve"> * (Tf-T0) *L0 + L0 =</t>
    </r>
  </si>
  <si>
    <t>Ew =</t>
  </si>
  <si>
    <t>ECu =</t>
  </si>
  <si>
    <t>X=</t>
  </si>
  <si>
    <r>
      <t>F</t>
    </r>
    <r>
      <rPr>
        <vertAlign val="subscript"/>
        <sz val="11"/>
        <color theme="1"/>
        <rFont val="Calibri"/>
        <family val="2"/>
        <scheme val="minor"/>
      </rPr>
      <t>W</t>
    </r>
    <r>
      <rPr>
        <sz val="11"/>
        <color theme="1"/>
        <rFont val="Calibri"/>
        <family val="2"/>
        <scheme val="minor"/>
      </rPr>
      <t>+F</t>
    </r>
    <r>
      <rPr>
        <vertAlign val="subscript"/>
        <sz val="11"/>
        <color theme="1"/>
        <rFont val="Calibri"/>
        <family val="2"/>
        <scheme val="minor"/>
      </rPr>
      <t>cu</t>
    </r>
    <r>
      <rPr>
        <sz val="11"/>
        <color theme="1"/>
        <rFont val="Calibri"/>
        <family val="2"/>
        <scheme val="minor"/>
      </rPr>
      <t>=0</t>
    </r>
  </si>
  <si>
    <r>
      <rPr>
        <sz val="11"/>
        <color theme="1"/>
        <rFont val="Calibri"/>
        <family val="2"/>
      </rPr>
      <t>σ</t>
    </r>
    <r>
      <rPr>
        <vertAlign val="subscript"/>
        <sz val="11"/>
        <color theme="1"/>
        <rFont val="Calibri"/>
        <family val="2"/>
        <scheme val="minor"/>
      </rPr>
      <t>W</t>
    </r>
    <r>
      <rPr>
        <sz val="11"/>
        <color theme="1"/>
        <rFont val="Calibri"/>
        <family val="2"/>
        <scheme val="minor"/>
      </rPr>
      <t>=-</t>
    </r>
    <r>
      <rPr>
        <sz val="11"/>
        <color theme="1"/>
        <rFont val="Calibri"/>
        <family val="2"/>
      </rPr>
      <t>σ</t>
    </r>
    <r>
      <rPr>
        <vertAlign val="subscript"/>
        <sz val="11"/>
        <color theme="1"/>
        <rFont val="Calibri"/>
        <family val="2"/>
        <scheme val="minor"/>
      </rPr>
      <t>Cu</t>
    </r>
  </si>
  <si>
    <r>
      <t>E</t>
    </r>
    <r>
      <rPr>
        <vertAlign val="subscript"/>
        <sz val="11"/>
        <color theme="1"/>
        <rFont val="Calibri"/>
        <family val="2"/>
        <scheme val="minor"/>
      </rPr>
      <t>W</t>
    </r>
    <r>
      <rPr>
        <sz val="11"/>
        <color theme="1"/>
        <rFont val="Calibri"/>
        <family val="2"/>
        <scheme val="minor"/>
      </rPr>
      <t xml:space="preserve"> * </t>
    </r>
    <r>
      <rPr>
        <sz val="11"/>
        <color theme="1"/>
        <rFont val="Calibri"/>
        <family val="2"/>
      </rPr>
      <t>α</t>
    </r>
    <r>
      <rPr>
        <vertAlign val="subscript"/>
        <sz val="11"/>
        <color theme="1"/>
        <rFont val="Calibri"/>
        <family val="2"/>
      </rPr>
      <t xml:space="preserve">W </t>
    </r>
    <r>
      <rPr>
        <sz val="11"/>
        <color theme="1"/>
        <rFont val="Calibri"/>
        <family val="2"/>
      </rPr>
      <t>*(T0-Tf) = α</t>
    </r>
    <r>
      <rPr>
        <vertAlign val="subscript"/>
        <sz val="11"/>
        <color theme="1"/>
        <rFont val="Calibri"/>
        <family val="2"/>
      </rPr>
      <t>Cu</t>
    </r>
    <r>
      <rPr>
        <sz val="11"/>
        <color theme="1"/>
        <rFont val="Calibri"/>
        <family val="2"/>
      </rPr>
      <t>*(Tf-T0) *  E</t>
    </r>
    <r>
      <rPr>
        <vertAlign val="subscript"/>
        <sz val="11"/>
        <color theme="1"/>
        <rFont val="Calibri"/>
        <family val="2"/>
      </rPr>
      <t>cu</t>
    </r>
  </si>
  <si>
    <r>
      <t>E</t>
    </r>
    <r>
      <rPr>
        <vertAlign val="subscript"/>
        <sz val="11"/>
        <color theme="1"/>
        <rFont val="Calibri"/>
        <family val="2"/>
        <scheme val="minor"/>
      </rPr>
      <t>W</t>
    </r>
    <r>
      <rPr>
        <sz val="11"/>
        <color theme="1"/>
        <rFont val="Calibri"/>
        <family val="2"/>
        <scheme val="minor"/>
      </rPr>
      <t xml:space="preserve"> * -</t>
    </r>
    <r>
      <rPr>
        <sz val="11"/>
        <color theme="1"/>
        <rFont val="Calibri"/>
        <family val="2"/>
      </rPr>
      <t>ξ</t>
    </r>
    <r>
      <rPr>
        <vertAlign val="subscript"/>
        <sz val="11"/>
        <color theme="1"/>
        <rFont val="Calibri"/>
        <family val="2"/>
      </rPr>
      <t>W</t>
    </r>
    <r>
      <rPr>
        <sz val="11"/>
        <color theme="1"/>
        <rFont val="Calibri"/>
        <family val="2"/>
      </rPr>
      <t>= ξ</t>
    </r>
    <r>
      <rPr>
        <vertAlign val="subscript"/>
        <sz val="11"/>
        <color theme="1"/>
        <rFont val="Calibri"/>
        <family val="2"/>
      </rPr>
      <t>Cu</t>
    </r>
    <r>
      <rPr>
        <sz val="11"/>
        <color theme="1"/>
        <rFont val="Calibri"/>
        <family val="2"/>
      </rPr>
      <t>* E</t>
    </r>
    <r>
      <rPr>
        <vertAlign val="subscript"/>
        <sz val="11"/>
        <color theme="1"/>
        <rFont val="Calibri"/>
        <family val="2"/>
      </rPr>
      <t>cu</t>
    </r>
  </si>
  <si>
    <r>
      <t>E</t>
    </r>
    <r>
      <rPr>
        <vertAlign val="subscript"/>
        <sz val="11"/>
        <color theme="1"/>
        <rFont val="Calibri"/>
        <family val="2"/>
        <scheme val="minor"/>
      </rPr>
      <t>W</t>
    </r>
    <r>
      <rPr>
        <sz val="11"/>
        <color theme="1"/>
        <rFont val="Calibri"/>
        <family val="2"/>
        <scheme val="minor"/>
      </rPr>
      <t xml:space="preserve"> * </t>
    </r>
    <r>
      <rPr>
        <sz val="11"/>
        <color theme="1"/>
        <rFont val="Calibri"/>
        <family val="2"/>
      </rPr>
      <t>(W-X)/W= (X-Cu)/Cu* E</t>
    </r>
    <r>
      <rPr>
        <vertAlign val="subscript"/>
        <sz val="11"/>
        <color theme="1"/>
        <rFont val="Calibri"/>
        <family val="2"/>
      </rPr>
      <t>Cu</t>
    </r>
  </si>
  <si>
    <t xml:space="preserve">para contracción libre de tesiones termicas </t>
  </si>
  <si>
    <r>
      <t>(E</t>
    </r>
    <r>
      <rPr>
        <vertAlign val="subscript"/>
        <sz val="11"/>
        <color theme="1"/>
        <rFont val="Calibri"/>
        <family val="2"/>
        <scheme val="minor"/>
      </rPr>
      <t>W</t>
    </r>
    <r>
      <rPr>
        <sz val="11"/>
        <color theme="1"/>
        <rFont val="Calibri"/>
        <family val="2"/>
        <scheme val="minor"/>
      </rPr>
      <t>+W</t>
    </r>
    <r>
      <rPr>
        <vertAlign val="subscript"/>
        <sz val="11"/>
        <color theme="1"/>
        <rFont val="Calibri"/>
        <family val="2"/>
        <scheme val="minor"/>
      </rPr>
      <t>cu</t>
    </r>
    <r>
      <rPr>
        <sz val="11"/>
        <color theme="1"/>
        <rFont val="Calibri"/>
        <family val="2"/>
        <scheme val="minor"/>
      </rPr>
      <t>)/ (E</t>
    </r>
    <r>
      <rPr>
        <vertAlign val="subscript"/>
        <sz val="11"/>
        <color theme="1"/>
        <rFont val="Calibri"/>
        <family val="2"/>
        <scheme val="minor"/>
      </rPr>
      <t>W</t>
    </r>
    <r>
      <rPr>
        <sz val="11"/>
        <color theme="1"/>
        <rFont val="Calibri"/>
        <family val="2"/>
        <scheme val="minor"/>
      </rPr>
      <t>/W + E</t>
    </r>
    <r>
      <rPr>
        <vertAlign val="subscript"/>
        <sz val="11"/>
        <color theme="1"/>
        <rFont val="Calibri"/>
        <family val="2"/>
        <scheme val="minor"/>
      </rPr>
      <t>Cu</t>
    </r>
    <r>
      <rPr>
        <sz val="11"/>
        <color theme="1"/>
        <rFont val="Calibri"/>
        <family val="2"/>
        <scheme val="minor"/>
      </rPr>
      <t>/Cu) =X</t>
    </r>
  </si>
  <si>
    <r>
      <t>X</t>
    </r>
    <r>
      <rPr>
        <vertAlign val="subscript"/>
        <sz val="11"/>
        <color theme="1"/>
        <rFont val="Calibri"/>
        <family val="2"/>
        <scheme val="minor"/>
      </rPr>
      <t>WCU</t>
    </r>
    <r>
      <rPr>
        <sz val="11"/>
        <color theme="1"/>
        <rFont val="Calibri"/>
        <family val="2"/>
        <scheme val="minor"/>
      </rPr>
      <t xml:space="preserve"> = α</t>
    </r>
    <r>
      <rPr>
        <vertAlign val="subscript"/>
        <sz val="11"/>
        <color theme="1"/>
        <rFont val="Calibri"/>
        <family val="2"/>
        <scheme val="minor"/>
      </rPr>
      <t>WCU</t>
    </r>
    <r>
      <rPr>
        <sz val="11"/>
        <color theme="1"/>
        <rFont val="Calibri"/>
        <family val="2"/>
        <scheme val="minor"/>
      </rPr>
      <t xml:space="preserve"> * (Tf-T0) *L0 + L0 =</t>
    </r>
  </si>
  <si>
    <t xml:space="preserve">Intuitivamente podemos caer en el error de creer que el equilibrio depende de los coeficientes de dilatación en lugar del de las fuerzas. </t>
  </si>
  <si>
    <t>Resolvemos para un coef. Medio entre los materiales y el resultado obtenido no es correcto</t>
  </si>
  <si>
    <t xml:space="preserve">Un profesor de ciencias decide fabricar un termómetro compuesto por un puntero de 1m de largo, el cual se sujeta en un extremo y se deja libre en el otro donde se coloca una regla de 30 cm graduada al mm. 
A los 5 cm del extremo anclado se sujeta un hilo lateral de 212 cm de largo de aluminio y un resorte en oposición a este que mantiene tenso el hilo. 
a)  ¿A cuántos °C equivale cada división e la regla graduada?
b) Si cuando la temperatura es de 0°C el puntero coincide con la marca de 10 cm de la regla ¿Cuál es el rango teórico de medición de dicho termómetro?
c) ¿De qué material lo fabricaría para reducir el rango a la mitad?
</t>
  </si>
  <si>
    <t>d1</t>
  </si>
  <si>
    <t>Lrg</t>
  </si>
  <si>
    <t>drg</t>
  </si>
  <si>
    <t>P</t>
  </si>
  <si>
    <t>El hilo se alarga cada grado centígrado:</t>
  </si>
  <si>
    <t>αAl</t>
  </si>
  <si>
    <t>L1-L0 = L0 * αAl * 1°C</t>
  </si>
  <si>
    <t xml:space="preserve">L1-L0 = </t>
  </si>
  <si>
    <t>Llamando Y1 al desplazamiento del puntero a los 5 cm del extremo fijo por la dilatación del hilo e Y al desplazamiento en el extremo graduado y por regla de tangentes tenemos:</t>
  </si>
  <si>
    <t>Y1/5 = Y/100</t>
  </si>
  <si>
    <t>Y1= L1-L0</t>
  </si>
  <si>
    <t>Y=(L1-L0)/5*100 =</t>
  </si>
  <si>
    <t>La división de la regla graduada drg equivale a 1°C</t>
  </si>
  <si>
    <t>k = (Y-Y0)/(T-T0)= (10,1cm - 10cm)/(1°C-0°C)</t>
  </si>
  <si>
    <t>cm/°C</t>
  </si>
  <si>
    <t>Tmin=</t>
  </si>
  <si>
    <t>Y = Y0 + k (T-T0)</t>
  </si>
  <si>
    <t>Ymin = 10 cm + k (Tmin-0°C)</t>
  </si>
  <si>
    <t>Ymax = 10 cm + k (Tmax-0°C)</t>
  </si>
  <si>
    <t>Tmaax=</t>
  </si>
  <si>
    <t xml:space="preserve"> αPS</t>
  </si>
  <si>
    <t>Hilo de hierro?? O polímero como poliestireno ??</t>
  </si>
  <si>
    <t xml:space="preserve"> αFe</t>
  </si>
  <si>
    <t>Un sistema esta diseñado para captar los fotones provenientes de una fuente emisora y entregar esa energía en forma de calor a un kilogramo de agua pura. Si los fotones son rojos (long de onda 700 nm) y el sistema posee 80% de eficacia, calcule cuantos grados centígrados se eleva la temperatura de la masa de agua cuando el sistema absorbe un mol de estas partículas.</t>
  </si>
  <si>
    <t>E= h·c / λ</t>
  </si>
  <si>
    <t>La energía absorbida por el sistema es:</t>
  </si>
  <si>
    <t>El calor especifico molar del agua es 75354 J/mol.K y 1000 g de agua</t>
  </si>
  <si>
    <t>equivalen a 55,6 moles de agua</t>
  </si>
  <si>
    <t>Entonces : Q = m Cm ΔT</t>
  </si>
  <si>
    <t>ΔT = (136.76 KJ) / (55,6 mol · 75,354 KJ/mol K) = 0,0326 ºC</t>
  </si>
  <si>
    <t>h=</t>
  </si>
  <si>
    <t>J s</t>
  </si>
  <si>
    <t>c=</t>
  </si>
  <si>
    <t xml:space="preserve"> λ=</t>
  </si>
  <si>
    <t>m/s</t>
  </si>
  <si>
    <t>E=</t>
  </si>
  <si>
    <t xml:space="preserve">m </t>
  </si>
  <si>
    <t xml:space="preserve">Q= </t>
  </si>
  <si>
    <t>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</si>
</sst>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E+00"/>
    <numFmt numFmtId="166" formatCode="0.0000"/>
  </numFmts>
  <fonts count="14" x14ac:knownFonts="1">
    <font>
      <sz val="11"/>
      <color theme="1"/>
      <name val="Calibri"/>
      <family val="2"/>
      <scheme val="minor"/>
    </font>
    <font>
      <sz val="7"/>
      <color theme="1"/>
      <name val="Times New Roman"/>
      <family val="1"/>
    </font>
    <font>
      <sz val="16"/>
      <color theme="1"/>
      <name val="Calibri"/>
      <family val="2"/>
      <scheme val="minor"/>
    </font>
    <font>
      <sz val="20"/>
      <color theme="1"/>
      <name val="Calibri"/>
      <family val="2"/>
      <scheme val="minor"/>
    </font>
    <font>
      <b/>
      <sz val="16"/>
      <color theme="1"/>
      <name val="Calibri"/>
      <family val="2"/>
      <scheme val="minor"/>
    </font>
    <font>
      <b/>
      <sz val="10"/>
      <color theme="1"/>
      <name val="Calibri"/>
      <family val="2"/>
    </font>
    <font>
      <sz val="10"/>
      <color theme="1"/>
      <name val="Calibri"/>
      <family val="2"/>
    </font>
    <font>
      <vertAlign val="superscript"/>
      <sz val="11"/>
      <color theme="1"/>
      <name val="Calibri"/>
      <family val="2"/>
      <scheme val="minor"/>
    </font>
    <font>
      <sz val="11"/>
      <color theme="1"/>
      <name val="Calibri"/>
      <family val="2"/>
    </font>
    <font>
      <vertAlign val="superscript"/>
      <sz val="10"/>
      <color theme="1"/>
      <name val="Calibri"/>
      <family val="2"/>
    </font>
    <font>
      <sz val="11"/>
      <color rgb="FFFF0000"/>
      <name val="Calibri"/>
      <family val="2"/>
      <scheme val="minor"/>
    </font>
    <font>
      <vertAlign val="subscript"/>
      <sz val="11"/>
      <color theme="1"/>
      <name val="Calibri"/>
      <family val="2"/>
      <scheme val="minor"/>
    </font>
    <font>
      <vertAlign val="subscript"/>
      <sz val="11"/>
      <color theme="1"/>
      <name val="Calibri"/>
      <family val="2"/>
    </font>
    <font>
      <sz val="10"/>
      <color theme="1"/>
      <name val="Calibri"/>
      <family val="2"/>
      <scheme val="minor"/>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33">
    <xf numFmtId="0" fontId="0" fillId="0" borderId="0" xfId="0"/>
    <xf numFmtId="0" fontId="4" fillId="0" borderId="0" xfId="0" applyFont="1" applyAlignment="1">
      <alignment horizontal="center" vertical="center"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Fill="1" applyBorder="1" applyAlignment="1">
      <alignment horizontal="center" vertical="top" wrapText="1"/>
    </xf>
    <xf numFmtId="0" fontId="6" fillId="0" borderId="4" xfId="0" applyFont="1" applyBorder="1" applyAlignment="1">
      <alignment horizontal="justify" vertical="top" wrapText="1"/>
    </xf>
    <xf numFmtId="1" fontId="6" fillId="0" borderId="5" xfId="0" applyNumberFormat="1" applyFont="1" applyBorder="1" applyAlignment="1">
      <alignment horizontal="right" vertical="top" wrapText="1"/>
    </xf>
    <xf numFmtId="0" fontId="6" fillId="0" borderId="5" xfId="0" applyFont="1" applyBorder="1" applyAlignment="1">
      <alignment horizontal="right" vertical="top" wrapText="1"/>
    </xf>
    <xf numFmtId="1" fontId="0" fillId="0" borderId="6" xfId="0" applyNumberFormat="1" applyBorder="1"/>
    <xf numFmtId="0" fontId="6" fillId="0" borderId="7" xfId="0" applyFont="1" applyBorder="1" applyAlignment="1">
      <alignment horizontal="justify" vertical="top" wrapText="1"/>
    </xf>
    <xf numFmtId="1" fontId="6" fillId="0" borderId="8" xfId="0" applyNumberFormat="1" applyFont="1" applyBorder="1" applyAlignment="1">
      <alignment horizontal="right" vertical="top" wrapText="1"/>
    </xf>
    <xf numFmtId="0" fontId="6" fillId="0" borderId="8" xfId="0" applyFont="1" applyBorder="1" applyAlignment="1">
      <alignment horizontal="right" vertical="top" wrapText="1"/>
    </xf>
    <xf numFmtId="1" fontId="0" fillId="0" borderId="9" xfId="0" applyNumberFormat="1" applyBorder="1"/>
    <xf numFmtId="164" fontId="0" fillId="0" borderId="0" xfId="0" applyNumberFormat="1"/>
    <xf numFmtId="1" fontId="0" fillId="0" borderId="0" xfId="0" applyNumberFormat="1"/>
    <xf numFmtId="0" fontId="6" fillId="0" borderId="0" xfId="0" applyFont="1" applyAlignment="1">
      <alignment horizontal="justify"/>
    </xf>
    <xf numFmtId="11" fontId="0" fillId="0" borderId="0" xfId="0" applyNumberFormat="1" applyAlignment="1">
      <alignment horizontal="left"/>
    </xf>
    <xf numFmtId="0" fontId="8" fillId="0" borderId="0" xfId="0" applyFont="1"/>
    <xf numFmtId="11" fontId="0" fillId="0" borderId="0" xfId="0" applyNumberFormat="1"/>
    <xf numFmtId="165" fontId="0" fillId="0" borderId="0" xfId="0" applyNumberFormat="1"/>
    <xf numFmtId="0" fontId="0" fillId="0" borderId="0" xfId="0" applyNumberFormat="1"/>
    <xf numFmtId="0" fontId="6" fillId="0" borderId="0" xfId="0" applyFont="1" applyAlignment="1"/>
    <xf numFmtId="0" fontId="0" fillId="0" borderId="0" xfId="0" applyAlignment="1">
      <alignment horizontal="right"/>
    </xf>
    <xf numFmtId="166" fontId="0" fillId="0" borderId="0" xfId="0" applyNumberFormat="1" applyAlignment="1">
      <alignment horizontal="center"/>
    </xf>
    <xf numFmtId="0" fontId="10" fillId="0" borderId="0" xfId="0" applyFont="1"/>
    <xf numFmtId="0" fontId="0" fillId="0" borderId="0" xfId="0" applyAlignment="1">
      <alignment horizontal="center"/>
    </xf>
    <xf numFmtId="11" fontId="0" fillId="0" borderId="0" xfId="0" applyNumberFormat="1" applyAlignment="1">
      <alignment horizontal="center"/>
    </xf>
    <xf numFmtId="0" fontId="0" fillId="0" borderId="0" xfId="0" applyAlignment="1">
      <alignment horizontal="left"/>
    </xf>
    <xf numFmtId="0" fontId="6" fillId="0" borderId="0" xfId="0" applyFont="1" applyAlignment="1">
      <alignment horizontal="left" vertical="top" wrapText="1"/>
    </xf>
    <xf numFmtId="0" fontId="0" fillId="0" borderId="0" xfId="0" applyAlignment="1">
      <alignment horizontal="left" vertical="top" wrapText="1"/>
    </xf>
    <xf numFmtId="0" fontId="13" fillId="0" borderId="0" xfId="0" applyFont="1" applyAlignment="1">
      <alignment horizontal="left" vertical="top" wrapText="1"/>
    </xf>
    <xf numFmtId="0" fontId="3" fillId="0" borderId="0" xfId="0" applyFont="1" applyAlignment="1">
      <alignment horizontal="center" vertical="top" wrapText="1"/>
    </xf>
    <xf numFmtId="0" fontId="8"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92483046218213"/>
          <c:y val="0.12856303141748002"/>
          <c:w val="0.77313472413886419"/>
          <c:h val="0.6520288556744781"/>
        </c:manualLayout>
      </c:layout>
      <c:scatterChart>
        <c:scatterStyle val="smoothMarker"/>
        <c:varyColors val="0"/>
        <c:ser>
          <c:idx val="0"/>
          <c:order val="0"/>
          <c:xVal>
            <c:numRef>
              <c:f>Hoja1!$B$39:$B$44</c:f>
              <c:numCache>
                <c:formatCode>General</c:formatCode>
                <c:ptCount val="6"/>
                <c:pt idx="0">
                  <c:v>25</c:v>
                </c:pt>
                <c:pt idx="1">
                  <c:v>350</c:v>
                </c:pt>
              </c:numCache>
            </c:numRef>
          </c:xVal>
          <c:yVal>
            <c:numRef>
              <c:f>Hoja1!$C$39:$C$44</c:f>
              <c:numCache>
                <c:formatCode>0.000</c:formatCode>
                <c:ptCount val="6"/>
                <c:pt idx="0">
                  <c:v>15.025</c:v>
                </c:pt>
                <c:pt idx="1">
                  <c:v>15.046974062499999</c:v>
                </c:pt>
              </c:numCache>
            </c:numRef>
          </c:yVal>
          <c:smooth val="1"/>
        </c:ser>
        <c:ser>
          <c:idx val="1"/>
          <c:order val="1"/>
          <c:xVal>
            <c:numRef>
              <c:f>Hoja1!$B$39:$B$44</c:f>
              <c:numCache>
                <c:formatCode>General</c:formatCode>
                <c:ptCount val="6"/>
                <c:pt idx="0">
                  <c:v>25</c:v>
                </c:pt>
                <c:pt idx="1">
                  <c:v>350</c:v>
                </c:pt>
              </c:numCache>
            </c:numRef>
          </c:xVal>
          <c:yVal>
            <c:numRef>
              <c:f>Hoja1!$D$39:$D$44</c:f>
              <c:numCache>
                <c:formatCode>0.000</c:formatCode>
                <c:ptCount val="6"/>
                <c:pt idx="0">
                  <c:v>15</c:v>
                </c:pt>
                <c:pt idx="1">
                  <c:v>15.060937500000001</c:v>
                </c:pt>
              </c:numCache>
            </c:numRef>
          </c:yVal>
          <c:smooth val="1"/>
        </c:ser>
        <c:dLbls>
          <c:showLegendKey val="0"/>
          <c:showVal val="0"/>
          <c:showCatName val="0"/>
          <c:showSerName val="0"/>
          <c:showPercent val="0"/>
          <c:showBubbleSize val="0"/>
        </c:dLbls>
        <c:axId val="172495968"/>
        <c:axId val="172496528"/>
      </c:scatterChart>
      <c:valAx>
        <c:axId val="172495968"/>
        <c:scaling>
          <c:orientation val="minMax"/>
        </c:scaling>
        <c:delete val="0"/>
        <c:axPos val="b"/>
        <c:numFmt formatCode="General" sourceLinked="1"/>
        <c:majorTickMark val="out"/>
        <c:minorTickMark val="in"/>
        <c:tickLblPos val="nextTo"/>
        <c:crossAx val="172496528"/>
        <c:crosses val="autoZero"/>
        <c:crossBetween val="midCat"/>
        <c:minorUnit val="10"/>
      </c:valAx>
      <c:valAx>
        <c:axId val="172496528"/>
        <c:scaling>
          <c:orientation val="minMax"/>
        </c:scaling>
        <c:delete val="0"/>
        <c:axPos val="l"/>
        <c:majorGridlines/>
        <c:numFmt formatCode="0.000" sourceLinked="1"/>
        <c:majorTickMark val="out"/>
        <c:minorTickMark val="none"/>
        <c:tickLblPos val="nextTo"/>
        <c:crossAx val="172495968"/>
        <c:crosses val="autoZero"/>
        <c:crossBetween val="midCat"/>
      </c:valAx>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chart" Target="../charts/chart1.xml"/><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123825</xdr:colOff>
      <xdr:row>0</xdr:row>
      <xdr:rowOff>95250</xdr:rowOff>
    </xdr:from>
    <xdr:to>
      <xdr:col>4</xdr:col>
      <xdr:colOff>742950</xdr:colOff>
      <xdr:row>0</xdr:row>
      <xdr:rowOff>790575</xdr:rowOff>
    </xdr:to>
    <xdr:pic>
      <xdr:nvPicPr>
        <xdr:cNvPr id="2" name="1 Imagen"/>
        <xdr:cNvPicPr/>
      </xdr:nvPicPr>
      <xdr:blipFill>
        <a:blip xmlns:r="http://schemas.openxmlformats.org/officeDocument/2006/relationships" r:embed="rId1"/>
        <a:srcRect/>
        <a:stretch>
          <a:fillRect/>
        </a:stretch>
      </xdr:blipFill>
      <xdr:spPr bwMode="auto">
        <a:xfrm>
          <a:off x="3171825" y="95250"/>
          <a:ext cx="619125" cy="695325"/>
        </a:xfrm>
        <a:prstGeom prst="rect">
          <a:avLst/>
        </a:prstGeom>
        <a:noFill/>
        <a:ln w="9525">
          <a:noFill/>
          <a:miter lim="800000"/>
          <a:headEnd/>
          <a:tailEnd/>
        </a:ln>
      </xdr:spPr>
    </xdr:pic>
    <xdr:clientData/>
  </xdr:twoCellAnchor>
  <xdr:twoCellAnchor>
    <xdr:from>
      <xdr:col>4</xdr:col>
      <xdr:colOff>476250</xdr:colOff>
      <xdr:row>35</xdr:row>
      <xdr:rowOff>161924</xdr:rowOff>
    </xdr:from>
    <xdr:to>
      <xdr:col>9</xdr:col>
      <xdr:colOff>361950</xdr:colOff>
      <xdr:row>44</xdr:row>
      <xdr:rowOff>38099</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381000</xdr:colOff>
      <xdr:row>102</xdr:row>
      <xdr:rowOff>0</xdr:rowOff>
    </xdr:from>
    <xdr:to>
      <xdr:col>9</xdr:col>
      <xdr:colOff>238125</xdr:colOff>
      <xdr:row>107</xdr:row>
      <xdr:rowOff>104775</xdr:rowOff>
    </xdr:to>
    <xdr:pic>
      <xdr:nvPicPr>
        <xdr:cNvPr id="1025" name="Picture 1"/>
        <xdr:cNvPicPr>
          <a:picLocks noChangeAspect="1" noChangeArrowheads="1"/>
        </xdr:cNvPicPr>
      </xdr:nvPicPr>
      <xdr:blipFill>
        <a:blip xmlns:r="http://schemas.openxmlformats.org/officeDocument/2006/relationships" r:embed="rId3"/>
        <a:srcRect/>
        <a:stretch>
          <a:fillRect/>
        </a:stretch>
      </xdr:blipFill>
      <xdr:spPr bwMode="auto">
        <a:xfrm>
          <a:off x="3571875" y="23850600"/>
          <a:ext cx="3724275" cy="105727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8"/>
  <sheetViews>
    <sheetView tabSelected="1" topLeftCell="A4" workbookViewId="0">
      <selection activeCell="C13" sqref="C13"/>
    </sheetView>
  </sheetViews>
  <sheetFormatPr baseColWidth="10" defaultRowHeight="15" x14ac:dyDescent="0.25"/>
  <cols>
    <col min="3" max="3" width="13.5703125" bestFit="1" customWidth="1"/>
    <col min="5" max="6" width="11.85546875" bestFit="1" customWidth="1"/>
  </cols>
  <sheetData>
    <row r="1" spans="1:17" ht="71.25" customHeight="1" x14ac:dyDescent="0.25">
      <c r="B1" s="31" t="s">
        <v>0</v>
      </c>
      <c r="C1" s="31"/>
      <c r="D1" s="31"/>
      <c r="E1" s="31"/>
      <c r="F1" s="31"/>
      <c r="G1" s="31"/>
      <c r="H1" s="31"/>
      <c r="I1" s="31"/>
      <c r="J1" s="31"/>
      <c r="K1" s="31"/>
      <c r="L1" s="31"/>
      <c r="M1" s="31"/>
      <c r="N1" s="31"/>
    </row>
    <row r="2" spans="1:17" ht="56.25" customHeight="1" x14ac:dyDescent="0.25">
      <c r="A2" s="1">
        <v>1</v>
      </c>
      <c r="B2" s="29" t="s">
        <v>1</v>
      </c>
      <c r="C2" s="29"/>
      <c r="D2" s="29"/>
      <c r="E2" s="29"/>
      <c r="F2" s="29"/>
      <c r="G2" s="29"/>
      <c r="H2" s="29"/>
      <c r="I2" s="29"/>
      <c r="J2" s="29"/>
      <c r="K2" s="29"/>
      <c r="L2" s="29"/>
      <c r="M2" s="29"/>
      <c r="N2" s="29"/>
      <c r="O2" s="29"/>
      <c r="P2" s="29"/>
      <c r="Q2" s="29"/>
    </row>
    <row r="3" spans="1:17" ht="15.75" thickBot="1" x14ac:dyDescent="0.3"/>
    <row r="4" spans="1:17" ht="15.75" customHeight="1" x14ac:dyDescent="0.25">
      <c r="A4" t="s">
        <v>16</v>
      </c>
      <c r="B4" t="s">
        <v>2</v>
      </c>
      <c r="D4" s="2" t="s">
        <v>3</v>
      </c>
      <c r="E4" s="3" t="s">
        <v>7</v>
      </c>
      <c r="F4" s="3" t="s">
        <v>8</v>
      </c>
      <c r="G4" s="3" t="s">
        <v>9</v>
      </c>
      <c r="H4" s="3" t="s">
        <v>10</v>
      </c>
      <c r="I4" s="4" t="s">
        <v>11</v>
      </c>
    </row>
    <row r="5" spans="1:17" x14ac:dyDescent="0.25">
      <c r="D5" s="5" t="s">
        <v>5</v>
      </c>
      <c r="E5" s="6">
        <f>F5*I5/1000</f>
        <v>24.283799999999999</v>
      </c>
      <c r="F5" s="7">
        <v>900</v>
      </c>
      <c r="G5" s="6">
        <f>100*E5</f>
        <v>2428.38</v>
      </c>
      <c r="H5" s="7">
        <f>F5*100</f>
        <v>90000</v>
      </c>
      <c r="I5" s="8">
        <v>26.981999999999999</v>
      </c>
    </row>
    <row r="6" spans="1:17" x14ac:dyDescent="0.25">
      <c r="D6" s="5" t="s">
        <v>6</v>
      </c>
      <c r="E6" s="6">
        <f t="shared" ref="E6:E9" si="0">F6*I6/1000</f>
        <v>25.606099999999998</v>
      </c>
      <c r="F6" s="7">
        <v>130</v>
      </c>
      <c r="G6" s="6">
        <f t="shared" ref="G6:G9" si="1">100*E6</f>
        <v>2560.6099999999997</v>
      </c>
      <c r="H6" s="7">
        <f t="shared" ref="H6:H9" si="2">F6*100</f>
        <v>13000</v>
      </c>
      <c r="I6" s="8">
        <v>196.97</v>
      </c>
    </row>
    <row r="7" spans="1:17" ht="25.5" x14ac:dyDescent="0.25">
      <c r="D7" s="5" t="s">
        <v>12</v>
      </c>
      <c r="E7" s="6">
        <f t="shared" si="0"/>
        <v>49.907759999999996</v>
      </c>
      <c r="F7" s="7">
        <v>854</v>
      </c>
      <c r="G7" s="6">
        <f t="shared" si="1"/>
        <v>4990.7759999999998</v>
      </c>
      <c r="H7" s="7">
        <f t="shared" si="2"/>
        <v>85400</v>
      </c>
      <c r="I7" s="8">
        <f>22.99+35.45</f>
        <v>58.44</v>
      </c>
    </row>
    <row r="8" spans="1:17" x14ac:dyDescent="0.25">
      <c r="D8" s="5" t="s">
        <v>13</v>
      </c>
      <c r="E8" s="6">
        <f t="shared" si="0"/>
        <v>47.795999999999999</v>
      </c>
      <c r="F8" s="7">
        <v>840</v>
      </c>
      <c r="G8" s="6">
        <f t="shared" si="1"/>
        <v>4779.6000000000004</v>
      </c>
      <c r="H8" s="7">
        <f t="shared" si="2"/>
        <v>84000</v>
      </c>
      <c r="I8" s="8">
        <f>0.7*(28+2*16)+0.15*(2*23+16)+0.1*(40+16)</f>
        <v>56.9</v>
      </c>
    </row>
    <row r="9" spans="1:17" ht="15.75" thickBot="1" x14ac:dyDescent="0.3">
      <c r="D9" s="9" t="s">
        <v>14</v>
      </c>
      <c r="E9" s="10">
        <f t="shared" si="0"/>
        <v>735000</v>
      </c>
      <c r="F9" s="11">
        <v>2100</v>
      </c>
      <c r="G9" s="10">
        <f t="shared" si="1"/>
        <v>73500000</v>
      </c>
      <c r="H9" s="11">
        <f t="shared" si="2"/>
        <v>210000</v>
      </c>
      <c r="I9" s="12">
        <v>350000</v>
      </c>
    </row>
    <row r="11" spans="1:17" x14ac:dyDescent="0.25">
      <c r="A11" t="s">
        <v>17</v>
      </c>
      <c r="B11" t="s">
        <v>19</v>
      </c>
    </row>
    <row r="13" spans="1:17" x14ac:dyDescent="0.25">
      <c r="A13" t="s">
        <v>18</v>
      </c>
      <c r="B13" t="s">
        <v>15</v>
      </c>
      <c r="C13" s="14" t="str">
        <f>69000/11/375 &amp; "°C"</f>
        <v>16,7272727272727°C</v>
      </c>
    </row>
    <row r="16" spans="1:17" ht="21" customHeight="1" x14ac:dyDescent="0.25">
      <c r="A16" s="1">
        <v>2</v>
      </c>
      <c r="B16" s="29" t="s">
        <v>20</v>
      </c>
      <c r="C16" s="29"/>
      <c r="D16" s="29"/>
      <c r="E16" s="29"/>
      <c r="F16" s="29"/>
      <c r="G16" s="29"/>
      <c r="H16" s="29"/>
      <c r="I16" s="29"/>
      <c r="J16" s="29"/>
      <c r="K16" s="29"/>
      <c r="L16" s="29"/>
      <c r="M16" s="29"/>
      <c r="N16" s="29"/>
      <c r="O16" s="29"/>
    </row>
    <row r="18" spans="1:15" ht="17.25" x14ac:dyDescent="0.25">
      <c r="B18" t="s">
        <v>21</v>
      </c>
      <c r="C18" t="s">
        <v>22</v>
      </c>
      <c r="F18" t="s">
        <v>23</v>
      </c>
      <c r="G18" t="str">
        <f xml:space="preserve"> "Cv = " &amp; C20 *40^3</f>
        <v>Cv = 3,04</v>
      </c>
      <c r="H18" t="s">
        <v>26</v>
      </c>
      <c r="I18">
        <f>3.04/65.5*1000/1</f>
        <v>46.412213740458014</v>
      </c>
      <c r="J18" t="s">
        <v>30</v>
      </c>
    </row>
    <row r="19" spans="1:15" x14ac:dyDescent="0.25">
      <c r="B19" t="s">
        <v>27</v>
      </c>
      <c r="C19" t="s">
        <v>28</v>
      </c>
    </row>
    <row r="20" spans="1:15" ht="17.25" x14ac:dyDescent="0.25">
      <c r="B20" t="s">
        <v>24</v>
      </c>
      <c r="C20" s="16">
        <f xml:space="preserve"> 0.38/20^3</f>
        <v>4.7500000000000003E-5</v>
      </c>
      <c r="F20" t="s">
        <v>29</v>
      </c>
      <c r="I20" t="s">
        <v>25</v>
      </c>
    </row>
    <row r="23" spans="1:15" ht="35.25" customHeight="1" x14ac:dyDescent="0.25">
      <c r="A23" s="1">
        <v>3</v>
      </c>
      <c r="B23" s="32" t="s">
        <v>31</v>
      </c>
      <c r="C23" s="29"/>
      <c r="D23" s="29"/>
      <c r="E23" s="29"/>
      <c r="F23" s="29"/>
      <c r="G23" s="29"/>
      <c r="H23" s="29"/>
      <c r="I23" s="29"/>
      <c r="J23" s="29"/>
      <c r="K23" s="29"/>
      <c r="L23" s="29"/>
      <c r="M23" s="29"/>
      <c r="N23" s="29"/>
      <c r="O23" s="29"/>
    </row>
    <row r="25" spans="1:15" x14ac:dyDescent="0.25">
      <c r="A25" t="s">
        <v>16</v>
      </c>
      <c r="B25" s="17" t="s">
        <v>33</v>
      </c>
      <c r="D25" s="18">
        <f>(1.01-1)/(1*(100-20))</f>
        <v>1.2500000000000011E-4</v>
      </c>
      <c r="E25" t="s">
        <v>32</v>
      </c>
    </row>
    <row r="27" spans="1:15" x14ac:dyDescent="0.25">
      <c r="A27" t="s">
        <v>17</v>
      </c>
      <c r="B27" t="s">
        <v>34</v>
      </c>
    </row>
    <row r="28" spans="1:15" x14ac:dyDescent="0.25">
      <c r="B28" t="s">
        <v>37</v>
      </c>
      <c r="D28" s="19">
        <f xml:space="preserve"> 1+D25* (-9-20)</f>
        <v>0.99637500000000001</v>
      </c>
      <c r="E28" t="s">
        <v>35</v>
      </c>
    </row>
    <row r="31" spans="1:15" ht="36" customHeight="1" x14ac:dyDescent="0.25">
      <c r="A31" s="1">
        <v>4</v>
      </c>
      <c r="B31" s="28" t="s">
        <v>36</v>
      </c>
      <c r="C31" s="29"/>
      <c r="D31" s="29"/>
      <c r="E31" s="29"/>
      <c r="F31" s="29"/>
      <c r="G31" s="29"/>
      <c r="H31" s="29"/>
      <c r="I31" s="29"/>
      <c r="J31" s="29"/>
      <c r="K31" s="29"/>
      <c r="L31" s="29"/>
      <c r="M31" s="29"/>
      <c r="N31" s="29"/>
      <c r="O31" s="29"/>
    </row>
    <row r="33" spans="1:15" x14ac:dyDescent="0.25">
      <c r="B33" t="s">
        <v>47</v>
      </c>
      <c r="E33" t="s">
        <v>44</v>
      </c>
    </row>
    <row r="34" spans="1:15" x14ac:dyDescent="0.25">
      <c r="B34" t="s">
        <v>48</v>
      </c>
      <c r="E34" t="s">
        <v>45</v>
      </c>
    </row>
    <row r="35" spans="1:15" x14ac:dyDescent="0.25">
      <c r="B35" t="s">
        <v>38</v>
      </c>
      <c r="E35" t="s">
        <v>39</v>
      </c>
      <c r="K35">
        <f xml:space="preserve"> (15-15.025+25*(15.025*0.0000045-15*0.0000125))/(15.025*0.0000045-15*0.0000125)</f>
        <v>233.5288291106275</v>
      </c>
      <c r="L35" t="s">
        <v>46</v>
      </c>
    </row>
    <row r="37" spans="1:15" x14ac:dyDescent="0.25">
      <c r="B37" t="s">
        <v>40</v>
      </c>
    </row>
    <row r="38" spans="1:15" x14ac:dyDescent="0.25">
      <c r="B38" t="s">
        <v>41</v>
      </c>
      <c r="C38" t="s">
        <v>42</v>
      </c>
      <c r="D38" t="s">
        <v>43</v>
      </c>
    </row>
    <row r="39" spans="1:15" x14ac:dyDescent="0.25">
      <c r="B39">
        <v>25</v>
      </c>
      <c r="C39" s="13">
        <f>15.025*(1+0.0000045*(B39-25))</f>
        <v>15.025</v>
      </c>
      <c r="D39" s="13">
        <f>15*(1+0.0000125*(B39-25))</f>
        <v>15</v>
      </c>
    </row>
    <row r="40" spans="1:15" x14ac:dyDescent="0.25">
      <c r="B40">
        <v>350</v>
      </c>
      <c r="C40" s="13">
        <f>15.025*(1+0.0000045*(B40-25))</f>
        <v>15.046974062499999</v>
      </c>
      <c r="D40" s="13">
        <f>15*(1+0.0000125*(B40-25))</f>
        <v>15.060937500000001</v>
      </c>
    </row>
    <row r="47" spans="1:15" ht="63.75" customHeight="1" x14ac:dyDescent="0.25">
      <c r="A47" s="1">
        <v>5</v>
      </c>
      <c r="B47" s="28" t="s">
        <v>49</v>
      </c>
      <c r="C47" s="29"/>
      <c r="D47" s="29"/>
      <c r="E47" s="29"/>
      <c r="F47" s="29"/>
      <c r="G47" s="29"/>
      <c r="H47" s="29"/>
      <c r="I47" s="29"/>
      <c r="J47" s="29"/>
      <c r="K47" s="29"/>
      <c r="L47" s="29"/>
      <c r="M47" s="29"/>
      <c r="N47" s="29"/>
      <c r="O47" s="29"/>
    </row>
    <row r="49" spans="1:15" x14ac:dyDescent="0.25">
      <c r="A49" t="s">
        <v>16</v>
      </c>
      <c r="B49" t="s">
        <v>50</v>
      </c>
      <c r="C49">
        <f>3*60</f>
        <v>180</v>
      </c>
      <c r="D49" t="s">
        <v>51</v>
      </c>
      <c r="F49" t="s">
        <v>59</v>
      </c>
      <c r="H49" s="14">
        <f>C50*C53*C51*C52</f>
        <v>231147.15251759999</v>
      </c>
      <c r="I49" t="s">
        <v>61</v>
      </c>
    </row>
    <row r="50" spans="1:15" x14ac:dyDescent="0.25">
      <c r="B50" t="s">
        <v>15</v>
      </c>
      <c r="C50">
        <f>80-25</f>
        <v>55</v>
      </c>
      <c r="D50" t="s">
        <v>46</v>
      </c>
      <c r="F50" t="s">
        <v>60</v>
      </c>
      <c r="H50" s="14">
        <f>H49/C49</f>
        <v>1284.1508473199999</v>
      </c>
      <c r="I50" t="s">
        <v>62</v>
      </c>
    </row>
    <row r="51" spans="1:15" x14ac:dyDescent="0.25">
      <c r="B51" t="s">
        <v>52</v>
      </c>
      <c r="C51">
        <f>(997+972)/2</f>
        <v>984.5</v>
      </c>
      <c r="D51" t="s">
        <v>53</v>
      </c>
    </row>
    <row r="52" spans="1:15" x14ac:dyDescent="0.25">
      <c r="B52" t="s">
        <v>4</v>
      </c>
      <c r="C52">
        <v>4196</v>
      </c>
      <c r="D52" t="s">
        <v>54</v>
      </c>
    </row>
    <row r="53" spans="1:15" x14ac:dyDescent="0.25">
      <c r="B53" t="s">
        <v>55</v>
      </c>
      <c r="C53">
        <f>0.06^2*3.14*0.09</f>
        <v>1.0173599999999999E-3</v>
      </c>
      <c r="D53" t="s">
        <v>56</v>
      </c>
    </row>
    <row r="54" spans="1:15" x14ac:dyDescent="0.25">
      <c r="B54" t="s">
        <v>57</v>
      </c>
      <c r="C54">
        <f>2*3.14*0.06*0.09</f>
        <v>3.3911999999999998E-2</v>
      </c>
      <c r="D54" t="s">
        <v>58</v>
      </c>
    </row>
    <row r="55" spans="1:15" x14ac:dyDescent="0.25">
      <c r="B55" t="s">
        <v>64</v>
      </c>
      <c r="C55" s="18">
        <v>3.0000000000000001E-3</v>
      </c>
      <c r="D55" t="s">
        <v>35</v>
      </c>
    </row>
    <row r="56" spans="1:15" x14ac:dyDescent="0.25">
      <c r="B56" t="s">
        <v>65</v>
      </c>
      <c r="C56" s="20">
        <v>16.3</v>
      </c>
      <c r="D56" t="s">
        <v>66</v>
      </c>
    </row>
    <row r="58" spans="1:15" x14ac:dyDescent="0.25">
      <c r="A58" t="s">
        <v>17</v>
      </c>
      <c r="B58" t="s">
        <v>63</v>
      </c>
      <c r="D58" s="14">
        <f>C56*C50/C55</f>
        <v>298833.33333333331</v>
      </c>
      <c r="E58" t="s">
        <v>68</v>
      </c>
    </row>
    <row r="59" spans="1:15" x14ac:dyDescent="0.25">
      <c r="B59" t="s">
        <v>67</v>
      </c>
      <c r="D59" s="14">
        <f>D58*C54</f>
        <v>10134.035999999998</v>
      </c>
      <c r="E59" t="s">
        <v>69</v>
      </c>
    </row>
    <row r="61" spans="1:15" x14ac:dyDescent="0.25">
      <c r="A61" t="s">
        <v>18</v>
      </c>
      <c r="B61" t="s">
        <v>19</v>
      </c>
    </row>
    <row r="64" spans="1:15" ht="51" customHeight="1" x14ac:dyDescent="0.25">
      <c r="A64" s="1">
        <v>6</v>
      </c>
      <c r="B64" s="28" t="s">
        <v>70</v>
      </c>
      <c r="C64" s="29"/>
      <c r="D64" s="29"/>
      <c r="E64" s="29"/>
      <c r="F64" s="29"/>
      <c r="G64" s="29"/>
      <c r="H64" s="29"/>
      <c r="I64" s="29"/>
      <c r="J64" s="29"/>
      <c r="K64" s="29"/>
      <c r="L64" s="29"/>
      <c r="M64" s="29"/>
      <c r="N64" s="29"/>
      <c r="O64" s="29"/>
    </row>
    <row r="65" spans="1:15" x14ac:dyDescent="0.25">
      <c r="B65" s="15"/>
    </row>
    <row r="66" spans="1:15" x14ac:dyDescent="0.25">
      <c r="A66" t="s">
        <v>16</v>
      </c>
      <c r="B66" s="15" t="s">
        <v>71</v>
      </c>
      <c r="C66">
        <v>0.35</v>
      </c>
      <c r="D66" t="s">
        <v>35</v>
      </c>
      <c r="E66" t="str">
        <f>"-S = ε E"</f>
        <v>-S = ε E</v>
      </c>
    </row>
    <row r="67" spans="1:15" x14ac:dyDescent="0.25">
      <c r="B67" s="15" t="s">
        <v>15</v>
      </c>
      <c r="C67">
        <f>80-15</f>
        <v>65</v>
      </c>
      <c r="D67" t="s">
        <v>46</v>
      </c>
      <c r="E67" t="s">
        <v>74</v>
      </c>
    </row>
    <row r="68" spans="1:15" x14ac:dyDescent="0.25">
      <c r="B68" t="s">
        <v>72</v>
      </c>
      <c r="C68" s="18">
        <v>110000000000</v>
      </c>
      <c r="D68" t="s">
        <v>73</v>
      </c>
      <c r="E68" t="s">
        <v>81</v>
      </c>
      <c r="F68" s="18">
        <f>-C69*C68*C67</f>
        <v>-143000000</v>
      </c>
      <c r="G68" t="s">
        <v>73</v>
      </c>
    </row>
    <row r="69" spans="1:15" x14ac:dyDescent="0.25">
      <c r="B69" s="15" t="s">
        <v>75</v>
      </c>
      <c r="C69" s="18">
        <v>2.0000000000000002E-5</v>
      </c>
      <c r="D69" t="s">
        <v>32</v>
      </c>
      <c r="E69" t="s">
        <v>77</v>
      </c>
    </row>
    <row r="70" spans="1:15" x14ac:dyDescent="0.25">
      <c r="B70" s="15"/>
    </row>
    <row r="71" spans="1:15" ht="15" customHeight="1" x14ac:dyDescent="0.25">
      <c r="A71" t="s">
        <v>17</v>
      </c>
      <c r="B71" s="21" t="s">
        <v>76</v>
      </c>
      <c r="C71" s="21"/>
      <c r="D71" s="21"/>
      <c r="E71" s="21"/>
      <c r="F71" s="21"/>
      <c r="G71" s="21"/>
      <c r="H71" s="21"/>
      <c r="I71" s="21"/>
      <c r="J71" s="21"/>
      <c r="K71" s="21"/>
      <c r="L71" s="21"/>
    </row>
    <row r="73" spans="1:15" x14ac:dyDescent="0.25">
      <c r="A73" t="s">
        <v>18</v>
      </c>
      <c r="B73" s="15" t="s">
        <v>15</v>
      </c>
      <c r="C73">
        <f>-15-15</f>
        <v>-30</v>
      </c>
      <c r="D73" t="s">
        <v>46</v>
      </c>
      <c r="E73" t="s">
        <v>81</v>
      </c>
      <c r="F73" s="18">
        <f>-C69*C68*C73</f>
        <v>66000000</v>
      </c>
      <c r="G73" t="s">
        <v>73</v>
      </c>
    </row>
    <row r="74" spans="1:15" x14ac:dyDescent="0.25">
      <c r="E74" t="s">
        <v>78</v>
      </c>
    </row>
    <row r="77" spans="1:15" ht="51" customHeight="1" x14ac:dyDescent="0.25">
      <c r="A77" s="1">
        <v>7</v>
      </c>
      <c r="B77" s="28" t="s">
        <v>79</v>
      </c>
      <c r="C77" s="29"/>
      <c r="D77" s="29"/>
      <c r="E77" s="29"/>
      <c r="F77" s="29"/>
      <c r="G77" s="29"/>
      <c r="H77" s="29"/>
      <c r="I77" s="29"/>
      <c r="J77" s="29"/>
      <c r="K77" s="29"/>
      <c r="L77" s="29"/>
      <c r="M77" s="29"/>
      <c r="N77" s="29"/>
      <c r="O77" s="29"/>
    </row>
    <row r="78" spans="1:15" x14ac:dyDescent="0.25">
      <c r="B78" t="s">
        <v>88</v>
      </c>
      <c r="C78">
        <f>-60-20</f>
        <v>-80</v>
      </c>
      <c r="D78" t="s">
        <v>46</v>
      </c>
    </row>
    <row r="79" spans="1:15" x14ac:dyDescent="0.25">
      <c r="B79" t="s">
        <v>89</v>
      </c>
      <c r="C79">
        <f>138000000</f>
        <v>138000000</v>
      </c>
      <c r="D79" t="s">
        <v>73</v>
      </c>
    </row>
    <row r="81" spans="1:15" x14ac:dyDescent="0.25">
      <c r="B81" t="s">
        <v>3</v>
      </c>
      <c r="C81" t="s">
        <v>85</v>
      </c>
      <c r="D81" s="17" t="s">
        <v>86</v>
      </c>
      <c r="E81" t="s">
        <v>87</v>
      </c>
      <c r="F81" t="s">
        <v>90</v>
      </c>
    </row>
    <row r="82" spans="1:15" x14ac:dyDescent="0.25">
      <c r="B82" t="s">
        <v>5</v>
      </c>
      <c r="C82" s="18">
        <v>69000000000</v>
      </c>
      <c r="D82" s="18">
        <v>2.3E-5</v>
      </c>
      <c r="E82" s="18">
        <f>-$C$78*C82*D82</f>
        <v>126960000</v>
      </c>
      <c r="F82" t="str">
        <f>IF(ABS(E82)&gt;$C$79,"No","Si")</f>
        <v>Si</v>
      </c>
    </row>
    <row r="83" spans="1:15" x14ac:dyDescent="0.25">
      <c r="B83" t="s">
        <v>80</v>
      </c>
      <c r="C83" s="18">
        <v>411000000000</v>
      </c>
      <c r="D83" s="18">
        <v>4.5000000000000001E-6</v>
      </c>
      <c r="E83" s="18">
        <f t="shared" ref="E83:E86" si="3">-$C$78*C83*D83</f>
        <v>147960000</v>
      </c>
      <c r="F83" t="str">
        <f t="shared" ref="F83:F86" si="4">IF(ABS(E83)&gt;$C$79,"No","Si")</f>
        <v>No</v>
      </c>
    </row>
    <row r="84" spans="1:15" x14ac:dyDescent="0.25">
      <c r="B84" t="s">
        <v>82</v>
      </c>
      <c r="C84" s="18">
        <v>110000000000</v>
      </c>
      <c r="D84" s="18">
        <v>1.6500000000000001E-5</v>
      </c>
      <c r="E84" s="18">
        <f t="shared" si="3"/>
        <v>145200000</v>
      </c>
      <c r="F84" t="str">
        <f t="shared" si="4"/>
        <v>No</v>
      </c>
    </row>
    <row r="85" spans="1:15" x14ac:dyDescent="0.25">
      <c r="B85" t="s">
        <v>84</v>
      </c>
      <c r="C85" s="18">
        <v>110000000000</v>
      </c>
      <c r="D85" s="18">
        <v>2.0000000000000002E-5</v>
      </c>
      <c r="E85" s="18">
        <f t="shared" si="3"/>
        <v>176000000</v>
      </c>
      <c r="F85" t="str">
        <f t="shared" si="4"/>
        <v>No</v>
      </c>
    </row>
    <row r="86" spans="1:15" x14ac:dyDescent="0.25">
      <c r="B86" t="s">
        <v>83</v>
      </c>
      <c r="C86" s="18">
        <v>207000000000</v>
      </c>
      <c r="D86" s="18">
        <v>1.2500000000000001E-5</v>
      </c>
      <c r="E86" s="18">
        <f t="shared" si="3"/>
        <v>207000000</v>
      </c>
      <c r="F86" t="str">
        <f t="shared" si="4"/>
        <v>No</v>
      </c>
    </row>
    <row r="89" spans="1:15" ht="34.5" customHeight="1" x14ac:dyDescent="0.25">
      <c r="A89" s="1">
        <v>8</v>
      </c>
      <c r="B89" s="28" t="s">
        <v>91</v>
      </c>
      <c r="C89" s="29"/>
      <c r="D89" s="29"/>
      <c r="E89" s="29"/>
      <c r="F89" s="29"/>
      <c r="G89" s="29"/>
      <c r="H89" s="29"/>
      <c r="I89" s="29"/>
      <c r="J89" s="29"/>
      <c r="K89" s="29"/>
      <c r="L89" s="29"/>
      <c r="M89" s="29"/>
      <c r="N89" s="29"/>
      <c r="O89" s="29"/>
    </row>
    <row r="91" spans="1:15" x14ac:dyDescent="0.25">
      <c r="A91" t="s">
        <v>16</v>
      </c>
      <c r="B91" t="s">
        <v>92</v>
      </c>
    </row>
    <row r="92" spans="1:15" x14ac:dyDescent="0.25">
      <c r="B92" t="s">
        <v>93</v>
      </c>
    </row>
    <row r="94" spans="1:15" x14ac:dyDescent="0.25">
      <c r="A94" t="s">
        <v>17</v>
      </c>
      <c r="B94" t="s">
        <v>94</v>
      </c>
      <c r="C94" t="s">
        <v>95</v>
      </c>
      <c r="D94" t="s">
        <v>96</v>
      </c>
      <c r="E94" t="s">
        <v>97</v>
      </c>
      <c r="F94" t="s">
        <v>102</v>
      </c>
      <c r="G94" t="s">
        <v>103</v>
      </c>
      <c r="H94" t="s">
        <v>104</v>
      </c>
    </row>
    <row r="95" spans="1:15" x14ac:dyDescent="0.25">
      <c r="B95" t="s">
        <v>98</v>
      </c>
      <c r="C95" s="18">
        <v>207000000000</v>
      </c>
      <c r="D95" s="18">
        <v>1.3499999999999999E-5</v>
      </c>
      <c r="E95" s="18">
        <v>105000000</v>
      </c>
      <c r="F95" s="18">
        <v>48</v>
      </c>
      <c r="G95" s="18">
        <v>1800</v>
      </c>
      <c r="H95" t="s">
        <v>105</v>
      </c>
    </row>
    <row r="96" spans="1:15" x14ac:dyDescent="0.25">
      <c r="B96" t="s">
        <v>99</v>
      </c>
      <c r="C96" s="18">
        <v>284000000000</v>
      </c>
      <c r="D96" s="18">
        <v>7.6000000000000001E-6</v>
      </c>
      <c r="E96" s="18">
        <v>83000000</v>
      </c>
      <c r="F96" s="18">
        <v>15</v>
      </c>
      <c r="G96" s="18">
        <v>577</v>
      </c>
      <c r="H96" t="s">
        <v>106</v>
      </c>
    </row>
    <row r="97" spans="1:15" x14ac:dyDescent="0.25">
      <c r="B97" t="s">
        <v>100</v>
      </c>
      <c r="C97" s="18">
        <v>75000000000</v>
      </c>
      <c r="D97" s="18">
        <v>4.9999999999999998E-7</v>
      </c>
      <c r="E97" s="18">
        <v>110000000</v>
      </c>
      <c r="F97" s="18">
        <v>1.3</v>
      </c>
      <c r="G97" s="18">
        <v>3810</v>
      </c>
      <c r="H97" t="s">
        <v>107</v>
      </c>
    </row>
    <row r="98" spans="1:15" x14ac:dyDescent="0.25">
      <c r="B98" t="s">
        <v>101</v>
      </c>
      <c r="C98" s="18">
        <v>60000000000</v>
      </c>
      <c r="D98" s="18">
        <v>9.0000000000000002E-6</v>
      </c>
      <c r="E98" s="18">
        <v>69000000</v>
      </c>
      <c r="F98" s="18">
        <v>1.7</v>
      </c>
      <c r="G98" s="18">
        <v>217</v>
      </c>
      <c r="H98" t="s">
        <v>108</v>
      </c>
    </row>
    <row r="101" spans="1:15" ht="54" customHeight="1" x14ac:dyDescent="0.25">
      <c r="A101" s="1">
        <v>9</v>
      </c>
      <c r="B101" s="28" t="s">
        <v>109</v>
      </c>
      <c r="C101" s="29"/>
      <c r="D101" s="29"/>
      <c r="E101" s="29"/>
      <c r="F101" s="29"/>
      <c r="G101" s="29"/>
      <c r="H101" s="29"/>
      <c r="I101" s="29"/>
      <c r="J101" s="29"/>
      <c r="K101" s="29"/>
      <c r="L101" s="29"/>
      <c r="M101" s="29"/>
      <c r="N101" s="29"/>
      <c r="O101" s="29"/>
    </row>
    <row r="103" spans="1:15" x14ac:dyDescent="0.25">
      <c r="B103" t="s">
        <v>110</v>
      </c>
    </row>
    <row r="104" spans="1:15" x14ac:dyDescent="0.25">
      <c r="B104" t="s">
        <v>111</v>
      </c>
    </row>
    <row r="105" spans="1:15" x14ac:dyDescent="0.25">
      <c r="B105" t="s">
        <v>112</v>
      </c>
    </row>
    <row r="106" spans="1:15" x14ac:dyDescent="0.25">
      <c r="B106" t="s">
        <v>114</v>
      </c>
      <c r="C106" s="16">
        <v>4.5000000000000001E-6</v>
      </c>
      <c r="D106" t="s">
        <v>32</v>
      </c>
    </row>
    <row r="107" spans="1:15" x14ac:dyDescent="0.25">
      <c r="B107" t="s">
        <v>113</v>
      </c>
      <c r="C107" s="16">
        <v>1.6500000000000001E-5</v>
      </c>
      <c r="D107" t="s">
        <v>32</v>
      </c>
    </row>
    <row r="108" spans="1:15" x14ac:dyDescent="0.25">
      <c r="B108" t="s">
        <v>120</v>
      </c>
      <c r="C108" s="16">
        <v>400000000000</v>
      </c>
      <c r="D108" t="s">
        <v>73</v>
      </c>
    </row>
    <row r="109" spans="1:15" x14ac:dyDescent="0.25">
      <c r="B109" t="s">
        <v>121</v>
      </c>
      <c r="C109" s="16">
        <v>110000000000</v>
      </c>
      <c r="D109" t="s">
        <v>73</v>
      </c>
    </row>
    <row r="111" spans="1:15" ht="18" x14ac:dyDescent="0.35">
      <c r="A111" t="s">
        <v>17</v>
      </c>
      <c r="B111" t="s">
        <v>117</v>
      </c>
      <c r="D111" s="23">
        <f>C106*(20-650)*2 + 2</f>
        <v>1.9943299999999999</v>
      </c>
      <c r="E111" t="s">
        <v>118</v>
      </c>
      <c r="F111" t="s">
        <v>128</v>
      </c>
    </row>
    <row r="112" spans="1:15" ht="18" x14ac:dyDescent="0.35">
      <c r="B112" t="s">
        <v>119</v>
      </c>
      <c r="D112" s="23">
        <f>C107*(20-650)*2 + 2</f>
        <v>1.9792099999999999</v>
      </c>
      <c r="E112" t="s">
        <v>118</v>
      </c>
    </row>
    <row r="114" spans="1:15" x14ac:dyDescent="0.25">
      <c r="A114" t="s">
        <v>16</v>
      </c>
      <c r="B114" t="s">
        <v>115</v>
      </c>
    </row>
    <row r="115" spans="1:15" ht="18" x14ac:dyDescent="0.35">
      <c r="B115" t="s">
        <v>123</v>
      </c>
    </row>
    <row r="116" spans="1:15" x14ac:dyDescent="0.25">
      <c r="B116" t="s">
        <v>116</v>
      </c>
    </row>
    <row r="117" spans="1:15" ht="18" x14ac:dyDescent="0.35">
      <c r="B117" t="s">
        <v>124</v>
      </c>
    </row>
    <row r="118" spans="1:15" ht="18" x14ac:dyDescent="0.35">
      <c r="B118" t="s">
        <v>125</v>
      </c>
    </row>
    <row r="119" spans="1:15" ht="18" x14ac:dyDescent="0.35">
      <c r="B119" t="s">
        <v>126</v>
      </c>
    </row>
    <row r="120" spans="1:15" ht="18" x14ac:dyDescent="0.35">
      <c r="B120" t="s">
        <v>127</v>
      </c>
    </row>
    <row r="121" spans="1:15" ht="18" x14ac:dyDescent="0.35">
      <c r="B121" t="s">
        <v>129</v>
      </c>
      <c r="E121" s="22" t="s">
        <v>122</v>
      </c>
      <c r="F121" s="23">
        <f>(C108+C109)/(C108/D111 +C109/D112)</f>
        <v>1.9910493156966007</v>
      </c>
      <c r="G121" t="s">
        <v>118</v>
      </c>
    </row>
    <row r="123" spans="1:15" x14ac:dyDescent="0.25">
      <c r="B123" s="24" t="s">
        <v>131</v>
      </c>
    </row>
    <row r="124" spans="1:15" ht="18" x14ac:dyDescent="0.35">
      <c r="B124" t="s">
        <v>130</v>
      </c>
      <c r="E124" s="23">
        <f>(C106+C107)/2*(20-650)*2+2</f>
        <v>1.9867699999999999</v>
      </c>
      <c r="F124" t="s">
        <v>118</v>
      </c>
    </row>
    <row r="125" spans="1:15" x14ac:dyDescent="0.25">
      <c r="B125" s="24" t="s">
        <v>132</v>
      </c>
    </row>
    <row r="128" spans="1:15" ht="82.5" customHeight="1" x14ac:dyDescent="0.25">
      <c r="A128" s="1">
        <v>10</v>
      </c>
      <c r="B128" s="28" t="s">
        <v>133</v>
      </c>
      <c r="C128" s="29"/>
      <c r="D128" s="29"/>
      <c r="E128" s="29"/>
      <c r="F128" s="29"/>
      <c r="G128" s="29"/>
      <c r="H128" s="29"/>
      <c r="I128" s="29"/>
      <c r="J128" s="29"/>
      <c r="K128" s="29"/>
      <c r="L128" s="29"/>
      <c r="M128" s="29"/>
      <c r="N128" s="29"/>
      <c r="O128" s="29"/>
    </row>
    <row r="130" spans="1:7" x14ac:dyDescent="0.25">
      <c r="B130" t="s">
        <v>137</v>
      </c>
      <c r="C130" s="20">
        <v>100</v>
      </c>
      <c r="D130" t="s">
        <v>118</v>
      </c>
      <c r="E130" s="17" t="s">
        <v>139</v>
      </c>
      <c r="F130" s="18">
        <v>2.3600000000000001E-5</v>
      </c>
      <c r="G130" s="17" t="s">
        <v>32</v>
      </c>
    </row>
    <row r="131" spans="1:7" x14ac:dyDescent="0.25">
      <c r="B131" t="s">
        <v>135</v>
      </c>
      <c r="C131" s="20">
        <v>30</v>
      </c>
      <c r="D131" t="s">
        <v>118</v>
      </c>
    </row>
    <row r="132" spans="1:7" x14ac:dyDescent="0.25">
      <c r="B132" t="s">
        <v>136</v>
      </c>
      <c r="C132" s="20">
        <v>0.1</v>
      </c>
      <c r="D132" t="s">
        <v>118</v>
      </c>
    </row>
    <row r="133" spans="1:7" x14ac:dyDescent="0.25">
      <c r="B133" t="s">
        <v>134</v>
      </c>
      <c r="C133" s="20">
        <v>5</v>
      </c>
      <c r="D133" t="s">
        <v>118</v>
      </c>
    </row>
    <row r="134" spans="1:7" x14ac:dyDescent="0.25">
      <c r="B134" t="s">
        <v>71</v>
      </c>
      <c r="C134" s="20">
        <v>212</v>
      </c>
      <c r="D134" t="s">
        <v>118</v>
      </c>
    </row>
    <row r="135" spans="1:7" x14ac:dyDescent="0.25">
      <c r="C135" s="20"/>
    </row>
    <row r="136" spans="1:7" x14ac:dyDescent="0.25">
      <c r="A136" t="s">
        <v>16</v>
      </c>
      <c r="B136" t="s">
        <v>138</v>
      </c>
    </row>
    <row r="137" spans="1:7" x14ac:dyDescent="0.25">
      <c r="B137" t="s">
        <v>140</v>
      </c>
    </row>
    <row r="138" spans="1:7" x14ac:dyDescent="0.25">
      <c r="B138" t="s">
        <v>141</v>
      </c>
      <c r="C138" s="26">
        <f>C134*F130*1</f>
        <v>5.0032000000000002E-3</v>
      </c>
      <c r="D138" t="s">
        <v>118</v>
      </c>
    </row>
    <row r="139" spans="1:7" x14ac:dyDescent="0.25">
      <c r="B139" t="s">
        <v>142</v>
      </c>
    </row>
    <row r="140" spans="1:7" x14ac:dyDescent="0.25">
      <c r="B140" t="s">
        <v>143</v>
      </c>
    </row>
    <row r="141" spans="1:7" x14ac:dyDescent="0.25">
      <c r="B141" t="s">
        <v>144</v>
      </c>
      <c r="D141" t="s">
        <v>145</v>
      </c>
      <c r="F141" s="18">
        <f>C138/5*100</f>
        <v>0.10006400000000001</v>
      </c>
      <c r="G141" t="s">
        <v>118</v>
      </c>
    </row>
    <row r="142" spans="1:7" x14ac:dyDescent="0.25">
      <c r="B142" t="s">
        <v>146</v>
      </c>
    </row>
    <row r="143" spans="1:7" x14ac:dyDescent="0.25">
      <c r="B143" t="s">
        <v>147</v>
      </c>
      <c r="F143">
        <f xml:space="preserve"> 0.1/1</f>
        <v>0.1</v>
      </c>
      <c r="G143" t="s">
        <v>148</v>
      </c>
    </row>
    <row r="145" spans="1:15" x14ac:dyDescent="0.25">
      <c r="A145" t="s">
        <v>17</v>
      </c>
      <c r="B145" t="s">
        <v>150</v>
      </c>
    </row>
    <row r="146" spans="1:15" x14ac:dyDescent="0.25">
      <c r="B146" t="s">
        <v>151</v>
      </c>
      <c r="D146" s="22" t="s">
        <v>149</v>
      </c>
      <c r="E146" s="25">
        <f>(0-10)/F143+0</f>
        <v>-100</v>
      </c>
      <c r="F146" t="s">
        <v>46</v>
      </c>
    </row>
    <row r="147" spans="1:15" x14ac:dyDescent="0.25">
      <c r="B147" t="s">
        <v>152</v>
      </c>
      <c r="D147" s="22" t="s">
        <v>153</v>
      </c>
      <c r="E147" s="25">
        <f>(30-10)/F143+0</f>
        <v>200</v>
      </c>
      <c r="F147" t="s">
        <v>46</v>
      </c>
    </row>
    <row r="149" spans="1:15" x14ac:dyDescent="0.25">
      <c r="A149" t="s">
        <v>18</v>
      </c>
      <c r="B149" t="s">
        <v>155</v>
      </c>
    </row>
    <row r="150" spans="1:15" x14ac:dyDescent="0.25">
      <c r="B150" t="s">
        <v>156</v>
      </c>
      <c r="C150" s="18">
        <v>1.1800000000000001E-5</v>
      </c>
    </row>
    <row r="151" spans="1:15" x14ac:dyDescent="0.25">
      <c r="B151" t="s">
        <v>154</v>
      </c>
      <c r="C151" s="18">
        <v>5.0000000000000002E-5</v>
      </c>
    </row>
    <row r="152" spans="1:15" x14ac:dyDescent="0.25">
      <c r="C152" s="18"/>
    </row>
    <row r="154" spans="1:15" ht="37.5" customHeight="1" x14ac:dyDescent="0.25">
      <c r="A154" s="1">
        <v>12</v>
      </c>
      <c r="B154" s="28" t="s">
        <v>157</v>
      </c>
      <c r="C154" s="30"/>
      <c r="D154" s="30"/>
      <c r="E154" s="30"/>
      <c r="F154" s="30"/>
      <c r="G154" s="30"/>
      <c r="H154" s="30"/>
      <c r="I154" s="30"/>
      <c r="J154" s="30"/>
      <c r="K154" s="30"/>
      <c r="L154" s="30"/>
      <c r="M154" s="30"/>
      <c r="N154" s="30"/>
      <c r="O154" s="30"/>
    </row>
    <row r="156" spans="1:15" x14ac:dyDescent="0.25">
      <c r="B156" t="s">
        <v>158</v>
      </c>
    </row>
    <row r="157" spans="1:15" x14ac:dyDescent="0.25">
      <c r="B157" s="27" t="s">
        <v>164</v>
      </c>
      <c r="C157" s="18">
        <v>6.6200000000000001E-34</v>
      </c>
      <c r="D157" t="s">
        <v>165</v>
      </c>
    </row>
    <row r="158" spans="1:15" x14ac:dyDescent="0.25">
      <c r="B158" t="s">
        <v>166</v>
      </c>
      <c r="C158" s="18">
        <v>300000000</v>
      </c>
      <c r="D158" t="s">
        <v>168</v>
      </c>
    </row>
    <row r="159" spans="1:15" x14ac:dyDescent="0.25">
      <c r="B159" t="s">
        <v>167</v>
      </c>
      <c r="C159" s="18">
        <v>6.9999999999999997E-7</v>
      </c>
      <c r="D159" t="s">
        <v>170</v>
      </c>
    </row>
    <row r="160" spans="1:15" x14ac:dyDescent="0.25">
      <c r="B160" t="s">
        <v>169</v>
      </c>
      <c r="C160" s="18">
        <f>C157*C158/C159</f>
        <v>2.8371428571428576E-19</v>
      </c>
    </row>
    <row r="162" spans="2:4" x14ac:dyDescent="0.25">
      <c r="B162" t="s">
        <v>159</v>
      </c>
    </row>
    <row r="163" spans="2:4" x14ac:dyDescent="0.25">
      <c r="B163" t="s">
        <v>171</v>
      </c>
      <c r="C163" s="18">
        <f>0.8*C160*6.02E+23</f>
        <v>136636.80000000002</v>
      </c>
      <c r="D163" t="s">
        <v>172</v>
      </c>
    </row>
    <row r="165" spans="2:4" x14ac:dyDescent="0.25">
      <c r="B165" t="s">
        <v>160</v>
      </c>
    </row>
    <row r="166" spans="2:4" x14ac:dyDescent="0.25">
      <c r="B166" t="s">
        <v>161</v>
      </c>
    </row>
    <row r="167" spans="2:4" x14ac:dyDescent="0.25">
      <c r="B167" t="s">
        <v>162</v>
      </c>
    </row>
    <row r="168" spans="2:4" x14ac:dyDescent="0.25">
      <c r="B168" t="s">
        <v>163</v>
      </c>
    </row>
  </sheetData>
  <mergeCells count="12">
    <mergeCell ref="B128:O128"/>
    <mergeCell ref="B154:O154"/>
    <mergeCell ref="B1:N1"/>
    <mergeCell ref="B2:Q2"/>
    <mergeCell ref="B16:O16"/>
    <mergeCell ref="B23:O23"/>
    <mergeCell ref="B31:O31"/>
    <mergeCell ref="B47:O47"/>
    <mergeCell ref="B64:O64"/>
    <mergeCell ref="B77:O77"/>
    <mergeCell ref="B89:O89"/>
    <mergeCell ref="B101:O10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Alpha</dc:creator>
  <cp:lastModifiedBy>Alpha</cp:lastModifiedBy>
  <dcterms:created xsi:type="dcterms:W3CDTF">2014-05-16T13:52:52Z</dcterms:created>
  <dcterms:modified xsi:type="dcterms:W3CDTF">2014-08-04T17:17:33Z</dcterms:modified>
</cp:coreProperties>
</file>