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0Profesor asistente\PRACTICOS\En edición\"/>
    </mc:Choice>
  </mc:AlternateContent>
  <bookViews>
    <workbookView xWindow="240" yWindow="75" windowWidth="11520" windowHeight="2145"/>
  </bookViews>
  <sheets>
    <sheet name="Hoja1" sheetId="1" r:id="rId1"/>
    <sheet name="Hoja2" sheetId="2" r:id="rId2"/>
    <sheet name="Hoja3" sheetId="3" r:id="rId3"/>
  </sheets>
  <definedNames>
    <definedName name="solver_adj" localSheetId="0" hidden="1">Hoja1!$D$107:$E$107</definedName>
    <definedName name="solver_cvg" localSheetId="0" hidden="1">0.0001</definedName>
    <definedName name="solver_drv" localSheetId="0" hidden="1">1</definedName>
    <definedName name="solver_eng" localSheetId="0" hidden="1">2</definedName>
    <definedName name="solver_est" localSheetId="0" hidden="1">1</definedName>
    <definedName name="solver_itr" localSheetId="0" hidden="1">2147483647</definedName>
    <definedName name="solver_lhs1" localSheetId="0" hidden="1">Hoja1!$D$107</definedName>
    <definedName name="solver_lhs2" localSheetId="0" hidden="1">Hoja1!$D$107</definedName>
    <definedName name="solver_lhs3" localSheetId="0" hidden="1">Hoja1!$E$107</definedName>
    <definedName name="solver_lhs4" localSheetId="0" hidden="1">Hoja1!$E$107</definedName>
    <definedName name="solver_lhs5" localSheetId="0" hidden="1">Hoja1!$D$107</definedName>
    <definedName name="solver_lhs6" localSheetId="0" hidden="1">Hoja1!$E$107</definedName>
    <definedName name="solver_lhs7" localSheetId="0" hidden="1">Hoja1!$E$107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4</definedName>
    <definedName name="solver_nwt" localSheetId="0" hidden="1">1</definedName>
    <definedName name="solver_pre" localSheetId="0" hidden="1">0.000001</definedName>
    <definedName name="solver_rbv" localSheetId="0" hidden="1">1</definedName>
    <definedName name="solver_rel1" localSheetId="0" hidden="1">1</definedName>
    <definedName name="solver_rel2" localSheetId="0" hidden="1">3</definedName>
    <definedName name="solver_rel3" localSheetId="0" hidden="1">1</definedName>
    <definedName name="solver_rel4" localSheetId="0" hidden="1">3</definedName>
    <definedName name="solver_rel5" localSheetId="0" hidden="1">3</definedName>
    <definedName name="solver_rel6" localSheetId="0" hidden="1">1</definedName>
    <definedName name="solver_rel7" localSheetId="0" hidden="1">1</definedName>
    <definedName name="solver_rhs1" localSheetId="0" hidden="1">1</definedName>
    <definedName name="solver_rhs2" localSheetId="0" hidden="1">0</definedName>
    <definedName name="solver_rhs3" localSheetId="0" hidden="1">1</definedName>
    <definedName name="solver_rhs4" localSheetId="0" hidden="1">0</definedName>
    <definedName name="solver_rhs5" localSheetId="0" hidden="1">0</definedName>
    <definedName name="solver_rhs6" localSheetId="0" hidden="1">0</definedName>
    <definedName name="solver_rhs7"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2</definedName>
    <definedName name="solver_val" localSheetId="0" hidden="1">0</definedName>
    <definedName name="solver_ver" localSheetId="0" hidden="1">3</definedName>
  </definedNames>
  <calcPr calcId="152511" iterate="1"/>
</workbook>
</file>

<file path=xl/calcChain.xml><?xml version="1.0" encoding="utf-8"?>
<calcChain xmlns="http://schemas.openxmlformats.org/spreadsheetml/2006/main">
  <c r="C104" i="1" l="1"/>
  <c r="F102" i="1"/>
  <c r="E102" i="1"/>
  <c r="D102" i="1"/>
  <c r="E101" i="1" s="1"/>
  <c r="D101" i="1"/>
  <c r="F101" i="1" l="1"/>
  <c r="G102" i="1" s="1"/>
  <c r="H101" i="1" s="1"/>
  <c r="I102" i="1" s="1"/>
  <c r="J101" i="1" s="1"/>
  <c r="K102" i="1" s="1"/>
  <c r="L101" i="1" s="1"/>
  <c r="G101" i="1"/>
  <c r="H102" i="1" s="1"/>
  <c r="J75" i="1"/>
  <c r="D77" i="1"/>
  <c r="L75" i="1"/>
  <c r="K75" i="1"/>
  <c r="D66" i="1"/>
  <c r="H68" i="1" s="1"/>
  <c r="D70" i="1" s="1"/>
  <c r="D63" i="1"/>
  <c r="D64" i="1"/>
  <c r="D55" i="1"/>
  <c r="D57" i="1" s="1"/>
  <c r="D54" i="1"/>
  <c r="D53" i="1"/>
  <c r="I101" i="1" l="1"/>
  <c r="J102" i="1" s="1"/>
  <c r="K101" i="1" s="1"/>
  <c r="L102" i="1" s="1"/>
  <c r="C75" i="1"/>
  <c r="E75" i="1" s="1"/>
  <c r="E76" i="1" s="1"/>
  <c r="G78" i="1" s="1"/>
  <c r="D40" i="1"/>
  <c r="D42" i="1" s="1"/>
  <c r="G11" i="1"/>
  <c r="G10" i="1"/>
  <c r="G7" i="1"/>
  <c r="G6" i="1"/>
  <c r="F11" i="1"/>
  <c r="F10" i="1"/>
  <c r="F9" i="1"/>
  <c r="F7" i="1"/>
  <c r="F6" i="1"/>
  <c r="F5" i="1"/>
  <c r="E11" i="1"/>
  <c r="E10" i="1"/>
  <c r="E9" i="1"/>
  <c r="G9" i="1" s="1"/>
  <c r="E8" i="1"/>
  <c r="F8" i="1" s="1"/>
  <c r="E7" i="1"/>
  <c r="E6" i="1"/>
  <c r="E5" i="1"/>
  <c r="G5" i="1" s="1"/>
  <c r="F13" i="1" l="1"/>
  <c r="G13" i="1"/>
  <c r="C34" i="1" s="1"/>
  <c r="C46" i="1"/>
  <c r="E46" i="1" s="1"/>
  <c r="C47" i="1"/>
  <c r="E47" i="1" s="1"/>
  <c r="G8" i="1"/>
</calcChain>
</file>

<file path=xl/sharedStrings.xml><?xml version="1.0" encoding="utf-8"?>
<sst xmlns="http://schemas.openxmlformats.org/spreadsheetml/2006/main" count="138" uniqueCount="115">
  <si>
    <r>
      <t xml:space="preserve">Materiales de la Industria Química
</t>
    </r>
    <r>
      <rPr>
        <sz val="16"/>
        <color theme="1"/>
        <rFont val="Calibri"/>
        <family val="2"/>
        <scheme val="minor"/>
      </rPr>
      <t xml:space="preserve">Cuadernillo de Trabajos Prácticos
</t>
    </r>
    <r>
      <rPr>
        <sz val="11"/>
        <color theme="1"/>
        <rFont val="Calibri"/>
        <family val="2"/>
        <scheme val="minor"/>
      </rPr>
      <t>Rev 2014</t>
    </r>
    <r>
      <rPr>
        <sz val="20"/>
        <color theme="1"/>
        <rFont val="Calibri"/>
        <family val="2"/>
        <scheme val="minor"/>
      </rPr>
      <t xml:space="preserve">
</t>
    </r>
  </si>
  <si>
    <t>a</t>
  </si>
  <si>
    <t>b</t>
  </si>
  <si>
    <t>c</t>
  </si>
  <si>
    <t>m</t>
  </si>
  <si>
    <t xml:space="preserve">Se han tabulado los pesos moleculares de algunos polímeros:
 a) Calcule el peso molecular medio másico y el numérico.
b) Si se sabe que el grado de polimerización medio numérico de este material es 211. ¿a qué polímero (o copolímero de dos de ellos) de la tabla 1 corresponde? ¿por qué?
 c) ¿Cuál es el grado de polimerización medio másico de este material?
polietileno.
b) ¿Qué observa en los calores molares utilizados?
c) Calcule el aumento de temperatura que experimentará una masa de 11 Kg de latón si se le entregan 69 KJ de calor.
</t>
  </si>
  <si>
    <t>Intervalo de peso molecular g/mol</t>
  </si>
  <si>
    <t>Xi</t>
  </si>
  <si>
    <t>Wi</t>
  </si>
  <si>
    <t>8000-20000</t>
  </si>
  <si>
    <t>20000-32000</t>
  </si>
  <si>
    <t>32000-44000</t>
  </si>
  <si>
    <t>44000-56000</t>
  </si>
  <si>
    <t>56000-68000</t>
  </si>
  <si>
    <t>68000-80000</t>
  </si>
  <si>
    <t>80000-92000</t>
  </si>
  <si>
    <t>fracción molecular numérica o de cadenas (M*Xi )</t>
  </si>
  <si>
    <t>Media intervalo peso molecular g/mol (M)</t>
  </si>
  <si>
    <t>Pesos moleculares</t>
  </si>
  <si>
    <t>Numérico Mn</t>
  </si>
  <si>
    <t>Másico Mx</t>
  </si>
  <si>
    <r>
      <t>El peso monomérico se puede determinar a partir del grado de polimerización (n</t>
    </r>
    <r>
      <rPr>
        <vertAlign val="subscript"/>
        <sz val="11"/>
        <rFont val="Calibri"/>
        <family val="2"/>
        <scheme val="minor"/>
      </rPr>
      <t>n</t>
    </r>
    <r>
      <rPr>
        <sz val="11"/>
        <rFont val="Calibri"/>
        <family val="2"/>
        <scheme val="minor"/>
      </rPr>
      <t>) y el peso molecular medio (M</t>
    </r>
    <r>
      <rPr>
        <vertAlign val="subscript"/>
        <sz val="11"/>
        <rFont val="Calibri"/>
        <family val="2"/>
        <scheme val="minor"/>
      </rPr>
      <t>n</t>
    </r>
    <r>
      <rPr>
        <sz val="11"/>
        <rFont val="Calibri"/>
        <family val="2"/>
        <scheme val="minor"/>
      </rPr>
      <t>):</t>
    </r>
  </si>
  <si>
    <r>
      <t>n</t>
    </r>
    <r>
      <rPr>
        <vertAlign val="subscript"/>
        <sz val="11"/>
        <rFont val="Calibri"/>
        <family val="2"/>
        <scheme val="minor"/>
      </rPr>
      <t>n</t>
    </r>
    <r>
      <rPr>
        <sz val="11"/>
        <rFont val="Calibri"/>
        <family val="2"/>
        <scheme val="minor"/>
      </rPr>
      <t>= M</t>
    </r>
    <r>
      <rPr>
        <vertAlign val="subscript"/>
        <sz val="11"/>
        <rFont val="Calibri"/>
        <family val="2"/>
        <scheme val="minor"/>
      </rPr>
      <t>n</t>
    </r>
    <r>
      <rPr>
        <sz val="11"/>
        <rFont val="Calibri"/>
        <family val="2"/>
        <scheme val="minor"/>
      </rPr>
      <t>/m à m = M</t>
    </r>
    <r>
      <rPr>
        <vertAlign val="subscript"/>
        <sz val="11"/>
        <rFont val="Calibri"/>
        <family val="2"/>
        <scheme val="minor"/>
      </rPr>
      <t>n</t>
    </r>
    <r>
      <rPr>
        <sz val="11"/>
        <rFont val="Calibri"/>
        <family val="2"/>
        <scheme val="minor"/>
      </rPr>
      <t>/211 = 266 g/mol.</t>
    </r>
  </si>
  <si>
    <t>Peso medio copolímero</t>
  </si>
  <si>
    <t>P monómero</t>
  </si>
  <si>
    <t>PE</t>
  </si>
  <si>
    <t>PVC</t>
  </si>
  <si>
    <t>PTFE</t>
  </si>
  <si>
    <t>PP</t>
  </si>
  <si>
    <t>PS</t>
  </si>
  <si>
    <t>PMMA</t>
  </si>
  <si>
    <t>Baquelita</t>
  </si>
  <si>
    <t>Pet</t>
  </si>
  <si>
    <t>Nillon 66</t>
  </si>
  <si>
    <t>PC</t>
  </si>
  <si>
    <t>Pmonómero</t>
  </si>
  <si>
    <t>Nilon 66</t>
  </si>
  <si>
    <t>Corresponde al nilon 66</t>
  </si>
  <si>
    <r>
      <t>n</t>
    </r>
    <r>
      <rPr>
        <vertAlign val="subscript"/>
        <sz val="11"/>
        <color theme="1"/>
        <rFont val="Calibri"/>
        <family val="2"/>
        <scheme val="minor"/>
      </rPr>
      <t xml:space="preserve">x </t>
    </r>
    <r>
      <rPr>
        <sz val="11"/>
        <color theme="1"/>
        <rFont val="Calibri"/>
        <family val="2"/>
        <scheme val="minor"/>
      </rPr>
      <t>= M</t>
    </r>
    <r>
      <rPr>
        <vertAlign val="subscript"/>
        <sz val="11"/>
        <color theme="1"/>
        <rFont val="Calibri"/>
        <family val="2"/>
        <scheme val="minor"/>
      </rPr>
      <t>x</t>
    </r>
    <r>
      <rPr>
        <sz val="11"/>
        <color theme="1"/>
        <rFont val="Calibri"/>
        <family val="2"/>
        <scheme val="minor"/>
      </rPr>
      <t>/m</t>
    </r>
  </si>
  <si>
    <r>
      <t>n</t>
    </r>
    <r>
      <rPr>
        <vertAlign val="subscript"/>
        <sz val="11"/>
        <color theme="1"/>
        <rFont val="Calibri"/>
        <family val="2"/>
        <scheme val="minor"/>
      </rPr>
      <t>x</t>
    </r>
    <r>
      <rPr>
        <sz val="11"/>
        <color theme="1"/>
        <rFont val="Calibri"/>
        <family val="2"/>
        <scheme val="minor"/>
      </rPr>
      <t>=</t>
    </r>
  </si>
  <si>
    <t>monómeros por molécula</t>
  </si>
  <si>
    <t>fracción molecular másica (Mx*Wi)</t>
  </si>
  <si>
    <r>
      <t>2) La longitud total L de una molécula polimérica lineal depende de la longitud del enlace d entre átomos de la cadena, del número total de enlaces en la molécula N y del ánulo θ entre átomos de la cadena. Es decir: 
L = N•d•sen(θ/2) o L = N•d•cos((180°-θ)/2)
Además la distancia media Cabeza-cola r  de una serie de moléculas poliméricas es igual a :
r = d • N</t>
    </r>
    <r>
      <rPr>
        <vertAlign val="superscript"/>
        <sz val="11"/>
        <color theme="1"/>
        <rFont val="Calibri"/>
        <family val="2"/>
        <scheme val="minor"/>
      </rPr>
      <t>0,5</t>
    </r>
    <r>
      <rPr>
        <sz val="11"/>
        <color theme="1"/>
        <rFont val="Calibri"/>
        <family val="2"/>
        <scheme val="minor"/>
      </rPr>
      <t xml:space="preserve">
Calcule los valores de L y r para un polietileno lineal que tiene un Mn de 300 000 g/mol.
</t>
    </r>
  </si>
  <si>
    <t>g/mol</t>
  </si>
  <si>
    <t>nn = 300000 g/mol / 28 g/mol Pe</t>
  </si>
  <si>
    <t>nn=</t>
  </si>
  <si>
    <t>monómeros de Etileno</t>
  </si>
  <si>
    <t xml:space="preserve">N° enlaces por E= </t>
  </si>
  <si>
    <t>N =</t>
  </si>
  <si>
    <t>L=</t>
  </si>
  <si>
    <t>d C-C=</t>
  </si>
  <si>
    <t>θ</t>
  </si>
  <si>
    <t>°</t>
  </si>
  <si>
    <t>micras</t>
  </si>
  <si>
    <t>r=</t>
  </si>
  <si>
    <t>nm</t>
  </si>
  <si>
    <t>El peso molecular medio numérico del copolímero alternado poli(acrilonitrilo-butadieno) es 1.000.000 g/mol. 
Determine el número medio de unidades monoméricas de cada uno de ellos por molécula.</t>
  </si>
  <si>
    <t>Mn =</t>
  </si>
  <si>
    <t>Acrilonitrilo PM=</t>
  </si>
  <si>
    <t>Butadieno PM=</t>
  </si>
  <si>
    <t>unidad copolimero PM =</t>
  </si>
  <si>
    <t>nn=Mn/PM cop =</t>
  </si>
  <si>
    <t>moléculas de cada monómero</t>
  </si>
  <si>
    <t>Calcule el peso molecular medio numérico de un copolímero al azar de poli(isobutileno-isopreno) cuya fracción de unidades monoméricas del isobutileno es 0,25. 
Suponga que a esta concentración corresponde a un grado de polimerización medio numérico de 1500.</t>
  </si>
  <si>
    <t>Isobutileno PM=</t>
  </si>
  <si>
    <t>Isopreno PM=</t>
  </si>
  <si>
    <t>f isobutileno =</t>
  </si>
  <si>
    <t>f isopreno =</t>
  </si>
  <si>
    <t>PM copolímetro = fisopreno *PM isopreno + f isobutileno *PM isobutileno =</t>
  </si>
  <si>
    <t>Mn = PM copolímero * nn =</t>
  </si>
  <si>
    <t>V celda=</t>
  </si>
  <si>
    <t>PM monómero N66=</t>
  </si>
  <si>
    <r>
      <t>La densidad del nilón 66 totalmente cristalino a T ambiente es de 1,213 g/cm3. 
Además a temperatura ambiente la celdilla unidad de este material es triclínica con los siguientes parámetros de red.
a=0,497 nm  b=0,547 nm  c=1,729 nm  α=48,4°  β=76,6° γ=62,5°
El volumen de celda se calcula así: V = a•b•c•(1-cos</t>
    </r>
    <r>
      <rPr>
        <vertAlign val="superscript"/>
        <sz val="11"/>
        <color theme="1"/>
        <rFont val="Calibri"/>
        <family val="2"/>
        <scheme val="minor"/>
      </rPr>
      <t>2</t>
    </r>
    <r>
      <rPr>
        <sz val="11"/>
        <color theme="1"/>
        <rFont val="Calibri"/>
        <family val="2"/>
        <scheme val="minor"/>
      </rPr>
      <t>α- cos</t>
    </r>
    <r>
      <rPr>
        <vertAlign val="superscript"/>
        <sz val="11"/>
        <color theme="1"/>
        <rFont val="Calibri"/>
        <family val="2"/>
        <scheme val="minor"/>
      </rPr>
      <t>2</t>
    </r>
    <r>
      <rPr>
        <sz val="11"/>
        <color theme="1"/>
        <rFont val="Calibri"/>
        <family val="2"/>
        <scheme val="minor"/>
      </rPr>
      <t xml:space="preserve"> β - cos</t>
    </r>
    <r>
      <rPr>
        <vertAlign val="superscript"/>
        <sz val="11"/>
        <color theme="1"/>
        <rFont val="Calibri"/>
        <family val="2"/>
        <scheme val="minor"/>
      </rPr>
      <t>2</t>
    </r>
    <r>
      <rPr>
        <sz val="11"/>
        <color theme="1"/>
        <rFont val="Calibri"/>
        <family val="2"/>
        <scheme val="minor"/>
      </rPr>
      <t xml:space="preserve"> γ +2• cos α• cos β •cos γ)</t>
    </r>
    <r>
      <rPr>
        <vertAlign val="superscript"/>
        <sz val="11"/>
        <color theme="1"/>
        <rFont val="Calibri"/>
        <family val="2"/>
        <scheme val="minor"/>
      </rPr>
      <t>0,5</t>
    </r>
    <r>
      <rPr>
        <sz val="11"/>
        <color theme="1"/>
        <rFont val="Calibri"/>
        <family val="2"/>
        <scheme val="minor"/>
      </rPr>
      <t xml:space="preserve">
Determine el número de moléculas de monómero asociado a cada celda unidad.
</t>
    </r>
  </si>
  <si>
    <t>calcs--&gt;</t>
  </si>
  <si>
    <r>
      <t>m</t>
    </r>
    <r>
      <rPr>
        <vertAlign val="superscript"/>
        <sz val="11"/>
        <color theme="1"/>
        <rFont val="Calibri"/>
        <family val="2"/>
        <scheme val="minor"/>
      </rPr>
      <t>3</t>
    </r>
  </si>
  <si>
    <r>
      <t>cm</t>
    </r>
    <r>
      <rPr>
        <vertAlign val="superscript"/>
        <sz val="11"/>
        <color theme="1"/>
        <rFont val="Calibri"/>
        <family val="2"/>
        <scheme val="minor"/>
      </rPr>
      <t>3</t>
    </r>
  </si>
  <si>
    <t>Masa celda= Vcelda * dens =</t>
  </si>
  <si>
    <t>g</t>
  </si>
  <si>
    <t>N moléculas= Masa celda/ PM monómeo *  moléculas/mol =</t>
  </si>
  <si>
    <t>molécula por celda</t>
  </si>
  <si>
    <t xml:space="preserve"> La densidad y el porcentaje de cristalinidad asociado a dos materiales de polietileno son los siguientes:</t>
  </si>
  <si>
    <r>
      <t>δ g/cm</t>
    </r>
    <r>
      <rPr>
        <b/>
        <vertAlign val="superscript"/>
        <sz val="10"/>
        <color theme="1"/>
        <rFont val="Calibri"/>
        <family val="2"/>
      </rPr>
      <t>3</t>
    </r>
  </si>
  <si>
    <t>%cristalinidad</t>
  </si>
  <si>
    <t xml:space="preserve">a) Calcule las densidades del polietileno cristalino y amorfo
b) Determine el porcentaje de cristalinidad de una muestra que tiene 0,950 g/cm3
</t>
  </si>
  <si>
    <r>
      <t>%C = 100·δ</t>
    </r>
    <r>
      <rPr>
        <vertAlign val="subscript"/>
        <sz val="11"/>
        <color rgb="FF1F497D"/>
        <rFont val="Verdana"/>
        <family val="2"/>
      </rPr>
      <t>c</t>
    </r>
    <r>
      <rPr>
        <sz val="11"/>
        <color rgb="FF1F497D"/>
        <rFont val="Verdana"/>
        <family val="2"/>
      </rPr>
      <t>·(δ</t>
    </r>
    <r>
      <rPr>
        <vertAlign val="subscript"/>
        <sz val="11"/>
        <color rgb="FF1F497D"/>
        <rFont val="Verdana"/>
        <family val="2"/>
      </rPr>
      <t>s</t>
    </r>
    <r>
      <rPr>
        <sz val="11"/>
        <color rgb="FF1F497D"/>
        <rFont val="Verdana"/>
        <family val="2"/>
      </rPr>
      <t>-δ</t>
    </r>
    <r>
      <rPr>
        <vertAlign val="subscript"/>
        <sz val="11"/>
        <color rgb="FF1F497D"/>
        <rFont val="Verdana"/>
        <family val="2"/>
      </rPr>
      <t>a</t>
    </r>
    <r>
      <rPr>
        <sz val="11"/>
        <color rgb="FF1F497D"/>
        <rFont val="Verdana"/>
        <family val="2"/>
      </rPr>
      <t>) / δ</t>
    </r>
    <r>
      <rPr>
        <vertAlign val="subscript"/>
        <sz val="11"/>
        <color rgb="FF1F497D"/>
        <rFont val="Verdana"/>
        <family val="2"/>
      </rPr>
      <t>s</t>
    </r>
    <r>
      <rPr>
        <sz val="11"/>
        <color rgb="FF1F497D"/>
        <rFont val="Verdana"/>
        <family val="2"/>
      </rPr>
      <t>·(δ</t>
    </r>
    <r>
      <rPr>
        <vertAlign val="subscript"/>
        <sz val="11"/>
        <color rgb="FF1F497D"/>
        <rFont val="Verdana"/>
        <family val="2"/>
      </rPr>
      <t>c</t>
    </r>
    <r>
      <rPr>
        <sz val="11"/>
        <color rgb="FF1F497D"/>
        <rFont val="Verdana"/>
        <family val="2"/>
      </rPr>
      <t>-δ</t>
    </r>
    <r>
      <rPr>
        <vertAlign val="subscript"/>
        <sz val="11"/>
        <color rgb="FF1F497D"/>
        <rFont val="Verdana"/>
        <family val="2"/>
      </rPr>
      <t>a</t>
    </r>
    <r>
      <rPr>
        <sz val="11"/>
        <color rgb="FF1F497D"/>
        <rFont val="Verdana"/>
        <family val="2"/>
      </rPr>
      <t xml:space="preserve">) </t>
    </r>
  </si>
  <si>
    <t>S= sustancia</t>
  </si>
  <si>
    <t>C= fase cristalina</t>
  </si>
  <si>
    <t>Densidades</t>
  </si>
  <si>
    <t>A= fase amorfa</t>
  </si>
  <si>
    <t>o simplemente PC = 100*C*(S-A)/ (S*(C-A))</t>
  </si>
  <si>
    <t>Sistema de ecuaciones:</t>
  </si>
  <si>
    <t>0,768=C*(0,965-A)/(0,965*(C-A))</t>
  </si>
  <si>
    <t>0,464=C*(0,925-A)/(0,925*(C-A))</t>
  </si>
  <si>
    <t>&lt;--1</t>
  </si>
  <si>
    <t>&lt;--2</t>
  </si>
  <si>
    <t>C=</t>
  </si>
  <si>
    <t>Despejando C de 1</t>
  </si>
  <si>
    <t>Despejando A de 2</t>
  </si>
  <si>
    <t>A=</t>
  </si>
  <si>
    <t>Valor inicial</t>
  </si>
  <si>
    <t>it 1</t>
  </si>
  <si>
    <t>it2</t>
  </si>
  <si>
    <t>it3</t>
  </si>
  <si>
    <t>it4</t>
  </si>
  <si>
    <t>it5</t>
  </si>
  <si>
    <t>it6</t>
  </si>
  <si>
    <t>C=(0,768*0,965*A)/(0,768*0,965-0,965+A)</t>
  </si>
  <si>
    <t>A=C*(0,464*0,925-0,925)/(0,464*0,925-C)</t>
  </si>
  <si>
    <t>it7</t>
  </si>
  <si>
    <t>it8</t>
  </si>
  <si>
    <t>it9</t>
  </si>
  <si>
    <t>Resolución iterativa</t>
  </si>
  <si>
    <t>convergencia</t>
  </si>
  <si>
    <t>%C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</si>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</sst>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
  </numFmts>
  <fonts count="20" x14ac:knownFonts="1">
    <font>
      <sz val="11"/>
      <color theme="1"/>
      <name val="Calibri"/>
      <family val="2"/>
      <scheme val="minor"/>
    </font>
    <font>
      <sz val="16"/>
      <color theme="1"/>
      <name val="Calibri"/>
      <family val="2"/>
      <scheme val="minor"/>
    </font>
    <font>
      <sz val="20"/>
      <color theme="1"/>
      <name val="Calibri"/>
      <family val="2"/>
      <scheme val="minor"/>
    </font>
    <font>
      <b/>
      <sz val="16"/>
      <color theme="1"/>
      <name val="Calibri"/>
      <family val="2"/>
      <scheme val="minor"/>
    </font>
    <font>
      <b/>
      <sz val="10"/>
      <color theme="1"/>
      <name val="Calibri"/>
      <family val="2"/>
    </font>
    <font>
      <sz val="10"/>
      <color theme="1"/>
      <name val="Calibri"/>
      <family val="2"/>
    </font>
    <font>
      <vertAlign val="superscript"/>
      <sz val="11"/>
      <color theme="1"/>
      <name val="Calibri"/>
      <family val="2"/>
      <scheme val="minor"/>
    </font>
    <font>
      <vertAlign val="subscript"/>
      <sz val="11"/>
      <color theme="1"/>
      <name val="Calibri"/>
      <family val="2"/>
      <scheme val="minor"/>
    </font>
    <font>
      <sz val="10"/>
      <color theme="1"/>
      <name val="Calibri"/>
      <family val="2"/>
      <scheme val="minor"/>
    </font>
    <font>
      <b/>
      <sz val="8"/>
      <name val="Verdana"/>
      <family val="2"/>
    </font>
    <font>
      <sz val="11"/>
      <name val="Calibri"/>
      <family val="2"/>
      <scheme val="minor"/>
    </font>
    <font>
      <vertAlign val="subscript"/>
      <sz val="11"/>
      <name val="Calibri"/>
      <family val="2"/>
      <scheme val="minor"/>
    </font>
    <font>
      <b/>
      <sz val="9"/>
      <name val="Calibri"/>
      <family val="2"/>
      <scheme val="minor"/>
    </font>
    <font>
      <b/>
      <sz val="8"/>
      <name val="Calibri"/>
      <family val="2"/>
      <scheme val="minor"/>
    </font>
    <font>
      <sz val="11"/>
      <color rgb="FFFF0000"/>
      <name val="Calibri"/>
      <family val="2"/>
      <scheme val="minor"/>
    </font>
    <font>
      <b/>
      <vertAlign val="superscript"/>
      <sz val="10"/>
      <color theme="1"/>
      <name val="Calibri"/>
      <family val="2"/>
    </font>
    <font>
      <sz val="11"/>
      <color rgb="FF1F497D"/>
      <name val="Verdana"/>
      <family val="2"/>
    </font>
    <font>
      <vertAlign val="subscript"/>
      <sz val="11"/>
      <color rgb="FF1F497D"/>
      <name val="Verdana"/>
      <family val="2"/>
    </font>
    <font>
      <sz val="11"/>
      <color theme="6" tint="-0.499984740745262"/>
      <name val="Calibri"/>
      <family val="2"/>
      <scheme val="minor"/>
    </font>
    <font>
      <b/>
      <sz val="11"/>
      <color theme="6" tint="-0.499984740745262"/>
      <name val="Calibri"/>
      <family val="2"/>
      <scheme val="minor"/>
    </font>
  </fonts>
  <fills count="3">
    <fill>
      <patternFill patternType="none"/>
    </fill>
    <fill>
      <patternFill patternType="gray125"/>
    </fill>
    <fill>
      <patternFill patternType="solid">
        <fgColor theme="2"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s>
  <cellStyleXfs count="1">
    <xf numFmtId="0" fontId="0" fillId="0" borderId="0"/>
  </cellStyleXfs>
  <cellXfs count="64">
    <xf numFmtId="0" fontId="0" fillId="0" borderId="0" xfId="0"/>
    <xf numFmtId="0" fontId="3" fillId="0" borderId="0" xfId="0" applyFont="1" applyAlignment="1">
      <alignment horizontal="center" vertical="center" wrapText="1"/>
    </xf>
    <xf numFmtId="1" fontId="0" fillId="0" borderId="0" xfId="0" applyNumberFormat="1"/>
    <xf numFmtId="11" fontId="0" fillId="0" borderId="0" xfId="0" applyNumberFormat="1"/>
    <xf numFmtId="0" fontId="0" fillId="0" borderId="0" xfId="0" applyAlignment="1">
      <alignment horizontal="center"/>
    </xf>
    <xf numFmtId="0" fontId="0" fillId="0" borderId="0" xfId="0" applyAlignment="1">
      <alignment horizontal="left"/>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13" xfId="0" applyFont="1" applyBorder="1" applyAlignment="1">
      <alignment horizontal="justify" vertical="center" wrapText="1"/>
    </xf>
    <xf numFmtId="0" fontId="0" fillId="0" borderId="14" xfId="0" applyBorder="1"/>
    <xf numFmtId="0" fontId="0" fillId="0" borderId="15" xfId="0" applyBorder="1"/>
    <xf numFmtId="0" fontId="0" fillId="0" borderId="16" xfId="0" applyBorder="1"/>
    <xf numFmtId="1" fontId="0" fillId="0" borderId="16" xfId="0" applyNumberFormat="1" applyBorder="1"/>
    <xf numFmtId="0" fontId="9" fillId="0" borderId="11" xfId="0" applyFont="1" applyBorder="1" applyAlignment="1">
      <alignment vertical="center" wrapText="1"/>
    </xf>
    <xf numFmtId="0" fontId="8" fillId="0" borderId="14" xfId="0" applyFont="1" applyBorder="1" applyAlignment="1">
      <alignment horizontal="center" vertical="center"/>
    </xf>
    <xf numFmtId="0" fontId="10" fillId="0" borderId="0" xfId="0" applyFont="1" applyAlignment="1">
      <alignment horizontal="left" vertical="top"/>
    </xf>
    <xf numFmtId="0" fontId="10" fillId="0" borderId="0" xfId="0" applyFont="1"/>
    <xf numFmtId="0" fontId="12" fillId="0" borderId="12" xfId="0" applyFont="1" applyBorder="1" applyAlignment="1">
      <alignment vertical="center" wrapText="1"/>
    </xf>
    <xf numFmtId="0" fontId="12" fillId="0" borderId="1" xfId="0" applyFont="1" applyBorder="1" applyAlignment="1">
      <alignment horizontal="right"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12" fillId="0" borderId="20" xfId="0" applyFont="1" applyBorder="1" applyAlignment="1">
      <alignment horizontal="right" vertical="center"/>
    </xf>
    <xf numFmtId="0" fontId="12" fillId="0" borderId="21" xfId="0" applyFont="1" applyBorder="1" applyAlignment="1">
      <alignment horizontal="right" vertical="center"/>
    </xf>
    <xf numFmtId="0" fontId="12" fillId="0" borderId="2" xfId="0" applyFont="1" applyBorder="1" applyAlignment="1">
      <alignment horizontal="right" vertical="center"/>
    </xf>
    <xf numFmtId="0" fontId="12" fillId="0" borderId="22" xfId="0" applyFont="1" applyBorder="1" applyAlignment="1">
      <alignment horizontal="right" vertical="center"/>
    </xf>
    <xf numFmtId="0" fontId="12" fillId="0" borderId="3" xfId="0" applyFont="1" applyBorder="1" applyAlignment="1">
      <alignment horizontal="right" vertical="center"/>
    </xf>
    <xf numFmtId="0" fontId="12" fillId="0" borderId="23" xfId="0" applyFont="1" applyBorder="1" applyAlignment="1">
      <alignment horizontal="right" vertical="center"/>
    </xf>
    <xf numFmtId="0" fontId="12" fillId="0" borderId="4" xfId="0" applyFont="1" applyBorder="1" applyAlignment="1">
      <alignment horizontal="right" vertical="center"/>
    </xf>
    <xf numFmtId="0" fontId="13" fillId="0" borderId="19" xfId="0" applyFont="1" applyBorder="1" applyAlignment="1">
      <alignment horizontal="right" vertical="center"/>
    </xf>
    <xf numFmtId="0" fontId="13" fillId="0" borderId="24" xfId="0" applyFont="1" applyBorder="1" applyAlignment="1">
      <alignment horizontal="right" vertical="center"/>
    </xf>
    <xf numFmtId="0" fontId="12" fillId="0" borderId="25"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0" fontId="12" fillId="0" borderId="27"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horizontal="right" vertical="center"/>
    </xf>
    <xf numFmtId="0" fontId="12" fillId="0" borderId="30" xfId="0" applyFont="1" applyBorder="1" applyAlignment="1">
      <alignment vertical="center" wrapText="1"/>
    </xf>
    <xf numFmtId="0" fontId="12" fillId="0" borderId="31" xfId="0" applyFont="1" applyBorder="1" applyAlignment="1">
      <alignment vertical="center"/>
    </xf>
    <xf numFmtId="0" fontId="12" fillId="0" borderId="32" xfId="0" applyFont="1" applyBorder="1" applyAlignment="1">
      <alignment vertical="center"/>
    </xf>
    <xf numFmtId="0" fontId="12" fillId="2" borderId="12" xfId="0" applyFont="1" applyFill="1" applyBorder="1" applyAlignment="1">
      <alignment horizontal="right" vertical="center"/>
    </xf>
    <xf numFmtId="0" fontId="10" fillId="0" borderId="0" xfId="0" applyFont="1" applyFill="1" applyBorder="1" applyAlignment="1">
      <alignment vertical="center"/>
    </xf>
    <xf numFmtId="2" fontId="0" fillId="0" borderId="0" xfId="0" applyNumberFormat="1"/>
    <xf numFmtId="164" fontId="0" fillId="0" borderId="0" xfId="0" applyNumberFormat="1"/>
    <xf numFmtId="1" fontId="0" fillId="0" borderId="0" xfId="0" applyNumberFormat="1" applyAlignment="1">
      <alignment horizontal="left"/>
    </xf>
    <xf numFmtId="165" fontId="0" fillId="0" borderId="0" xfId="0" applyNumberFormat="1"/>
    <xf numFmtId="0" fontId="16" fillId="0" borderId="0" xfId="0" applyFont="1" applyAlignment="1">
      <alignment vertical="top"/>
    </xf>
    <xf numFmtId="0" fontId="14" fillId="0" borderId="0" xfId="0" applyFont="1" applyAlignment="1">
      <alignment horizontal="center"/>
    </xf>
    <xf numFmtId="166" fontId="18" fillId="0" borderId="0" xfId="0" applyNumberFormat="1" applyFont="1"/>
    <xf numFmtId="166" fontId="18" fillId="0" borderId="0" xfId="0" applyNumberFormat="1" applyFont="1" applyFill="1"/>
    <xf numFmtId="165" fontId="19" fillId="0" borderId="0" xfId="0" applyNumberFormat="1" applyFont="1" applyFill="1"/>
    <xf numFmtId="0" fontId="2" fillId="0" borderId="0" xfId="0" applyFont="1" applyAlignment="1">
      <alignment horizontal="center" vertical="top" wrapText="1"/>
    </xf>
    <xf numFmtId="0" fontId="0" fillId="0" borderId="0" xfId="0" applyAlignment="1">
      <alignment horizontal="left" vertical="top" wrapText="1"/>
    </xf>
    <xf numFmtId="0" fontId="0" fillId="0" borderId="0" xfId="0" applyAlignment="1">
      <alignment horizontal="center" vertical="center"/>
    </xf>
    <xf numFmtId="0" fontId="0" fillId="0" borderId="17" xfId="0" applyBorder="1" applyAlignment="1">
      <alignment horizontal="center" vertical="center"/>
    </xf>
    <xf numFmtId="0" fontId="0" fillId="0" borderId="0" xfId="0" applyAlignment="1">
      <alignment horizontal="center"/>
    </xf>
    <xf numFmtId="0" fontId="0" fillId="0" borderId="0" xfId="0" applyFill="1" applyAlignment="1">
      <alignment horizontal="center"/>
    </xf>
    <xf numFmtId="0" fontId="4" fillId="0" borderId="33" xfId="0" applyFont="1" applyBorder="1" applyAlignment="1">
      <alignment horizontal="justify" vertical="center" wrapText="1"/>
    </xf>
    <xf numFmtId="0" fontId="4" fillId="0" borderId="7" xfId="0" applyFont="1" applyBorder="1" applyAlignment="1">
      <alignment horizontal="justify" vertical="center" wrapText="1"/>
    </xf>
    <xf numFmtId="0" fontId="0" fillId="0" borderId="0" xfId="0"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Convergencia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strRef>
              <c:f>Hoja1!$C$100:$L$100</c:f>
              <c:strCache>
                <c:ptCount val="10"/>
                <c:pt idx="0">
                  <c:v>Valor inicial</c:v>
                </c:pt>
                <c:pt idx="1">
                  <c:v>it 1</c:v>
                </c:pt>
                <c:pt idx="2">
                  <c:v>it2</c:v>
                </c:pt>
                <c:pt idx="3">
                  <c:v>it3</c:v>
                </c:pt>
                <c:pt idx="4">
                  <c:v>it4</c:v>
                </c:pt>
                <c:pt idx="5">
                  <c:v>it5</c:v>
                </c:pt>
                <c:pt idx="6">
                  <c:v>it6</c:v>
                </c:pt>
                <c:pt idx="7">
                  <c:v>it7</c:v>
                </c:pt>
                <c:pt idx="8">
                  <c:v>it8</c:v>
                </c:pt>
                <c:pt idx="9">
                  <c:v>it9</c:v>
                </c:pt>
              </c:strCache>
            </c:strRef>
          </c:xVal>
          <c:yVal>
            <c:numRef>
              <c:f>Hoja1!$C$101:$L$101</c:f>
              <c:numCache>
                <c:formatCode>0.0000</c:formatCode>
                <c:ptCount val="10"/>
                <c:pt idx="0" formatCode="General">
                  <c:v>1</c:v>
                </c:pt>
                <c:pt idx="1">
                  <c:v>1.0291189335555091</c:v>
                </c:pt>
                <c:pt idx="2">
                  <c:v>0.99847286466372298</c:v>
                </c:pt>
                <c:pt idx="3">
                  <c:v>1.0059044737853695</c:v>
                </c:pt>
                <c:pt idx="4">
                  <c:v>0.99807428021851019</c:v>
                </c:pt>
                <c:pt idx="5">
                  <c:v>1.0000055149707094</c:v>
                </c:pt>
                <c:pt idx="6">
                  <c:v>0.99797010088721128</c:v>
                </c:pt>
                <c:pt idx="7">
                  <c:v>0.99847430244866009</c:v>
                </c:pt>
                <c:pt idx="8">
                  <c:v>0.99794286106098595</c:v>
                </c:pt>
                <c:pt idx="9" formatCode="0.000">
                  <c:v>0.9980746559059005</c:v>
                </c:pt>
              </c:numCache>
            </c:numRef>
          </c:yVal>
          <c:smooth val="1"/>
        </c:ser>
        <c:ser>
          <c:idx val="1"/>
          <c:order val="1"/>
          <c:spPr>
            <a:ln w="19050" cap="rnd">
              <a:solidFill>
                <a:schemeClr val="accent2"/>
              </a:solidFill>
              <a:round/>
            </a:ln>
            <a:effectLst/>
          </c:spPr>
          <c:marker>
            <c:symbol val="none"/>
          </c:marker>
          <c:xVal>
            <c:strRef>
              <c:f>Hoja1!$C$100:$L$100</c:f>
              <c:strCache>
                <c:ptCount val="10"/>
                <c:pt idx="0">
                  <c:v>Valor inicial</c:v>
                </c:pt>
                <c:pt idx="1">
                  <c:v>it 1</c:v>
                </c:pt>
                <c:pt idx="2">
                  <c:v>it2</c:v>
                </c:pt>
                <c:pt idx="3">
                  <c:v>it3</c:v>
                </c:pt>
                <c:pt idx="4">
                  <c:v>it4</c:v>
                </c:pt>
                <c:pt idx="5">
                  <c:v>it5</c:v>
                </c:pt>
                <c:pt idx="6">
                  <c:v>it6</c:v>
                </c:pt>
                <c:pt idx="7">
                  <c:v>it7</c:v>
                </c:pt>
                <c:pt idx="8">
                  <c:v>it8</c:v>
                </c:pt>
                <c:pt idx="9">
                  <c:v>it9</c:v>
                </c:pt>
              </c:strCache>
            </c:strRef>
          </c:xVal>
          <c:yVal>
            <c:numRef>
              <c:f>Hoja1!$C$102:$L$102</c:f>
              <c:numCache>
                <c:formatCode>0.0000</c:formatCode>
                <c:ptCount val="10"/>
                <c:pt idx="0" formatCode="General">
                  <c:v>0.8</c:v>
                </c:pt>
                <c:pt idx="1">
                  <c:v>0.8686054660126139</c:v>
                </c:pt>
                <c:pt idx="2">
                  <c:v>0.85051019182345977</c:v>
                </c:pt>
                <c:pt idx="3">
                  <c:v>0.86960555654220806</c:v>
                </c:pt>
                <c:pt idx="4">
                  <c:v>0.86478857156984057</c:v>
                </c:pt>
                <c:pt idx="5">
                  <c:v>0.86986746516693025</c:v>
                </c:pt>
                <c:pt idx="6">
                  <c:v>0.86860186406559092</c:v>
                </c:pt>
                <c:pt idx="7">
                  <c:v>0.86993598159970509</c:v>
                </c:pt>
                <c:pt idx="8">
                  <c:v>0.86960461244198028</c:v>
                </c:pt>
                <c:pt idx="9" formatCode="0.000">
                  <c:v>0.86995390076813972</c:v>
                </c:pt>
              </c:numCache>
            </c:numRef>
          </c:yVal>
          <c:smooth val="1"/>
        </c:ser>
        <c:dLbls>
          <c:showLegendKey val="0"/>
          <c:showVal val="0"/>
          <c:showCatName val="0"/>
          <c:showSerName val="0"/>
          <c:showPercent val="0"/>
          <c:showBubbleSize val="0"/>
        </c:dLbls>
        <c:axId val="70386720"/>
        <c:axId val="70387280"/>
      </c:scatterChart>
      <c:valAx>
        <c:axId val="70386720"/>
        <c:scaling>
          <c:orientation val="minMax"/>
          <c:max val="11"/>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387280"/>
        <c:crosses val="autoZero"/>
        <c:crossBetween val="midCat"/>
      </c:valAx>
      <c:valAx>
        <c:axId val="70387280"/>
        <c:scaling>
          <c:orientation val="minMax"/>
          <c:max val="1.05"/>
          <c:min val="0.7500000000000001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3867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123825</xdr:colOff>
      <xdr:row>0</xdr:row>
      <xdr:rowOff>95250</xdr:rowOff>
    </xdr:from>
    <xdr:to>
      <xdr:col>4</xdr:col>
      <xdr:colOff>742950</xdr:colOff>
      <xdr:row>0</xdr:row>
      <xdr:rowOff>790575</xdr:rowOff>
    </xdr:to>
    <xdr:pic>
      <xdr:nvPicPr>
        <xdr:cNvPr id="2" name="1 Imagen"/>
        <xdr:cNvPicPr/>
      </xdr:nvPicPr>
      <xdr:blipFill>
        <a:blip xmlns:r="http://schemas.openxmlformats.org/officeDocument/2006/relationships" r:embed="rId1"/>
        <a:srcRect/>
        <a:stretch>
          <a:fillRect/>
        </a:stretch>
      </xdr:blipFill>
      <xdr:spPr bwMode="auto">
        <a:xfrm>
          <a:off x="3171825" y="95250"/>
          <a:ext cx="619125" cy="695325"/>
        </a:xfrm>
        <a:prstGeom prst="rect">
          <a:avLst/>
        </a:prstGeom>
        <a:noFill/>
        <a:ln w="9525">
          <a:noFill/>
          <a:miter lim="800000"/>
          <a:headEnd/>
          <a:tailEnd/>
        </a:ln>
      </xdr:spPr>
    </xdr:pic>
    <xdr:clientData/>
  </xdr:twoCellAnchor>
  <xdr:twoCellAnchor>
    <xdr:from>
      <xdr:col>9</xdr:col>
      <xdr:colOff>457200</xdr:colOff>
      <xdr:row>86</xdr:row>
      <xdr:rowOff>180974</xdr:rowOff>
    </xdr:from>
    <xdr:to>
      <xdr:col>11</xdr:col>
      <xdr:colOff>752475</xdr:colOff>
      <xdr:row>98</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tabSelected="1" topLeftCell="B89" zoomScale="115" zoomScaleNormal="115" workbookViewId="0">
      <selection activeCell="G104" sqref="G104"/>
    </sheetView>
  </sheetViews>
  <sheetFormatPr defaultColWidth="11.42578125" defaultRowHeight="15" x14ac:dyDescent="0.25"/>
  <cols>
    <col min="3" max="3" width="13.5703125" bestFit="1" customWidth="1"/>
    <col min="5" max="6" width="11.85546875" bestFit="1" customWidth="1"/>
    <col min="10" max="10" width="12.5703125" bestFit="1" customWidth="1"/>
  </cols>
  <sheetData>
    <row r="1" spans="1:17" ht="71.25" customHeight="1" x14ac:dyDescent="0.25">
      <c r="B1" s="55" t="s">
        <v>0</v>
      </c>
      <c r="C1" s="55"/>
      <c r="D1" s="55"/>
      <c r="E1" s="55"/>
      <c r="F1" s="55"/>
      <c r="G1" s="55"/>
      <c r="H1" s="55"/>
      <c r="I1" s="55"/>
      <c r="J1" s="55"/>
      <c r="K1" s="55"/>
      <c r="L1" s="55"/>
      <c r="M1" s="55"/>
      <c r="N1" s="55"/>
    </row>
    <row r="2" spans="1:17" ht="64.5" customHeight="1" x14ac:dyDescent="0.25">
      <c r="A2" s="1">
        <v>1</v>
      </c>
      <c r="B2" s="56" t="s">
        <v>5</v>
      </c>
      <c r="C2" s="56"/>
      <c r="D2" s="56"/>
      <c r="E2" s="56"/>
      <c r="F2" s="56"/>
      <c r="G2" s="56"/>
      <c r="H2" s="56"/>
      <c r="I2" s="56"/>
      <c r="J2" s="56"/>
      <c r="K2" s="56"/>
      <c r="L2" s="56"/>
      <c r="M2" s="56"/>
      <c r="N2" s="56"/>
      <c r="O2" s="56"/>
      <c r="P2" s="56"/>
      <c r="Q2" s="56"/>
    </row>
    <row r="3" spans="1:17" ht="15.75" thickBot="1" x14ac:dyDescent="0.3"/>
    <row r="4" spans="1:17" ht="53.25" thickBot="1" x14ac:dyDescent="0.3">
      <c r="A4" t="s">
        <v>1</v>
      </c>
      <c r="B4" s="6" t="s">
        <v>6</v>
      </c>
      <c r="C4" s="7" t="s">
        <v>7</v>
      </c>
      <c r="D4" s="7" t="s">
        <v>8</v>
      </c>
      <c r="E4" s="18" t="s">
        <v>17</v>
      </c>
      <c r="F4" s="18" t="s">
        <v>16</v>
      </c>
      <c r="G4" s="18" t="s">
        <v>41</v>
      </c>
    </row>
    <row r="5" spans="1:17" x14ac:dyDescent="0.25">
      <c r="B5" s="8" t="s">
        <v>9</v>
      </c>
      <c r="C5" s="10">
        <v>0.05</v>
      </c>
      <c r="D5" s="12">
        <v>0.02</v>
      </c>
      <c r="E5" s="14">
        <f>(8000+20000)/2</f>
        <v>14000</v>
      </c>
      <c r="F5" s="14">
        <f>E5*C5</f>
        <v>700</v>
      </c>
      <c r="G5" s="14">
        <f>E5*D5</f>
        <v>280</v>
      </c>
    </row>
    <row r="6" spans="1:17" ht="25.5" x14ac:dyDescent="0.25">
      <c r="B6" s="8" t="s">
        <v>10</v>
      </c>
      <c r="C6" s="10">
        <v>0.15</v>
      </c>
      <c r="D6" s="12">
        <v>0.08</v>
      </c>
      <c r="E6" s="15">
        <f>(20000+32000)/2</f>
        <v>26000</v>
      </c>
      <c r="F6" s="15">
        <f t="shared" ref="F6:F11" si="0">E6*C6</f>
        <v>3900</v>
      </c>
      <c r="G6" s="15">
        <f t="shared" ref="G6:G11" si="1">E6*D6</f>
        <v>2080</v>
      </c>
    </row>
    <row r="7" spans="1:17" ht="25.5" x14ac:dyDescent="0.25">
      <c r="B7" s="8" t="s">
        <v>11</v>
      </c>
      <c r="C7" s="10">
        <v>0.21</v>
      </c>
      <c r="D7" s="12">
        <v>0.17</v>
      </c>
      <c r="E7" s="15">
        <f>(32000+44000)/2</f>
        <v>38000</v>
      </c>
      <c r="F7" s="15">
        <f t="shared" si="0"/>
        <v>7980</v>
      </c>
      <c r="G7" s="15">
        <f t="shared" si="1"/>
        <v>6460.0000000000009</v>
      </c>
    </row>
    <row r="8" spans="1:17" ht="25.5" x14ac:dyDescent="0.25">
      <c r="B8" s="8" t="s">
        <v>12</v>
      </c>
      <c r="C8" s="10">
        <v>0.28000000000000003</v>
      </c>
      <c r="D8" s="12">
        <v>0.28999999999999998</v>
      </c>
      <c r="E8" s="15">
        <f>(44000+56000)/2</f>
        <v>50000</v>
      </c>
      <c r="F8" s="15">
        <f t="shared" si="0"/>
        <v>14000.000000000002</v>
      </c>
      <c r="G8" s="15">
        <f t="shared" si="1"/>
        <v>14499.999999999998</v>
      </c>
    </row>
    <row r="9" spans="1:17" ht="25.5" x14ac:dyDescent="0.25">
      <c r="B9" s="8" t="s">
        <v>13</v>
      </c>
      <c r="C9" s="10">
        <v>0.18</v>
      </c>
      <c r="D9" s="12">
        <v>0.23</v>
      </c>
      <c r="E9" s="15">
        <f>(56000+68000)/2</f>
        <v>62000</v>
      </c>
      <c r="F9" s="15">
        <f t="shared" si="0"/>
        <v>11160</v>
      </c>
      <c r="G9" s="15">
        <f t="shared" si="1"/>
        <v>14260</v>
      </c>
    </row>
    <row r="10" spans="1:17" ht="25.5" x14ac:dyDescent="0.25">
      <c r="B10" s="8" t="s">
        <v>14</v>
      </c>
      <c r="C10" s="10">
        <v>0.1</v>
      </c>
      <c r="D10" s="12">
        <v>0.16</v>
      </c>
      <c r="E10" s="15">
        <f>(68000+80000)/2</f>
        <v>74000</v>
      </c>
      <c r="F10" s="15">
        <f t="shared" si="0"/>
        <v>7400</v>
      </c>
      <c r="G10" s="15">
        <f t="shared" si="1"/>
        <v>11840</v>
      </c>
    </row>
    <row r="11" spans="1:17" ht="26.25" thickBot="1" x14ac:dyDescent="0.3">
      <c r="B11" s="9" t="s">
        <v>15</v>
      </c>
      <c r="C11" s="11">
        <v>0.03</v>
      </c>
      <c r="D11" s="13">
        <v>0.05</v>
      </c>
      <c r="E11" s="16">
        <f>(80000+92000)/2</f>
        <v>86000</v>
      </c>
      <c r="F11" s="16">
        <f t="shared" si="0"/>
        <v>2580</v>
      </c>
      <c r="G11" s="16">
        <f t="shared" si="1"/>
        <v>4300</v>
      </c>
    </row>
    <row r="12" spans="1:17" x14ac:dyDescent="0.25">
      <c r="D12" s="57" t="s">
        <v>18</v>
      </c>
      <c r="E12" s="58"/>
      <c r="F12" s="19" t="s">
        <v>19</v>
      </c>
      <c r="G12" s="19" t="s">
        <v>20</v>
      </c>
    </row>
    <row r="13" spans="1:17" ht="15.75" thickBot="1" x14ac:dyDescent="0.3">
      <c r="D13" s="57"/>
      <c r="E13" s="58"/>
      <c r="F13" s="17">
        <f>SUM(F5:F11)</f>
        <v>47720</v>
      </c>
      <c r="G13" s="17">
        <f>SUM(G5:G11)</f>
        <v>53720</v>
      </c>
      <c r="H13" s="4" t="s">
        <v>43</v>
      </c>
    </row>
    <row r="15" spans="1:17" ht="18" x14ac:dyDescent="0.25">
      <c r="A15" t="s">
        <v>2</v>
      </c>
      <c r="B15" s="20" t="s">
        <v>21</v>
      </c>
      <c r="C15" s="21"/>
      <c r="D15" s="21"/>
      <c r="E15" s="21"/>
      <c r="F15" s="21"/>
      <c r="G15" s="21"/>
      <c r="H15" s="21"/>
      <c r="I15" s="21"/>
      <c r="J15" s="21"/>
      <c r="K15" s="21"/>
    </row>
    <row r="16" spans="1:17" ht="18" x14ac:dyDescent="0.25">
      <c r="B16" s="20" t="s">
        <v>22</v>
      </c>
      <c r="C16" s="21"/>
      <c r="D16" s="21"/>
      <c r="E16" s="21"/>
      <c r="F16" s="21"/>
      <c r="G16" s="21"/>
      <c r="H16" s="21"/>
      <c r="I16" s="21"/>
      <c r="J16" s="21"/>
      <c r="K16" s="21"/>
    </row>
    <row r="17" spans="2:13" ht="15.75" thickBot="1" x14ac:dyDescent="0.3"/>
    <row r="18" spans="2:13" ht="24.75" thickBot="1" x14ac:dyDescent="0.3">
      <c r="B18" s="22" t="s">
        <v>23</v>
      </c>
      <c r="C18" s="41" t="s">
        <v>24</v>
      </c>
      <c r="D18" s="42" t="s">
        <v>25</v>
      </c>
      <c r="E18" s="42" t="s">
        <v>26</v>
      </c>
      <c r="F18" s="42" t="s">
        <v>27</v>
      </c>
      <c r="G18" s="42" t="s">
        <v>28</v>
      </c>
      <c r="H18" s="42" t="s">
        <v>29</v>
      </c>
      <c r="I18" s="42" t="s">
        <v>30</v>
      </c>
      <c r="J18" s="42" t="s">
        <v>31</v>
      </c>
      <c r="K18" s="42" t="s">
        <v>32</v>
      </c>
      <c r="L18" s="42" t="s">
        <v>33</v>
      </c>
      <c r="M18" s="43" t="s">
        <v>34</v>
      </c>
    </row>
    <row r="19" spans="2:13" x14ac:dyDescent="0.25">
      <c r="B19" s="38" t="s">
        <v>35</v>
      </c>
      <c r="C19" s="39"/>
      <c r="D19" s="27">
        <v>28</v>
      </c>
      <c r="E19" s="27">
        <v>62</v>
      </c>
      <c r="F19" s="27">
        <v>100</v>
      </c>
      <c r="G19" s="27">
        <v>42</v>
      </c>
      <c r="H19" s="27">
        <v>104</v>
      </c>
      <c r="I19" s="27">
        <v>100</v>
      </c>
      <c r="J19" s="27">
        <v>164</v>
      </c>
      <c r="K19" s="27">
        <v>192</v>
      </c>
      <c r="L19" s="27">
        <v>267</v>
      </c>
      <c r="M19" s="40">
        <v>251</v>
      </c>
    </row>
    <row r="20" spans="2:13" x14ac:dyDescent="0.25">
      <c r="B20" s="35" t="s">
        <v>25</v>
      </c>
      <c r="C20" s="25">
        <v>28</v>
      </c>
      <c r="D20" s="23">
        <v>28</v>
      </c>
      <c r="E20" s="23">
        <v>45</v>
      </c>
      <c r="F20" s="23">
        <v>64</v>
      </c>
      <c r="G20" s="23">
        <v>35</v>
      </c>
      <c r="H20" s="23">
        <v>66</v>
      </c>
      <c r="I20" s="23">
        <v>64</v>
      </c>
      <c r="J20" s="23">
        <v>96</v>
      </c>
      <c r="K20" s="23">
        <v>110</v>
      </c>
      <c r="L20" s="23">
        <v>147</v>
      </c>
      <c r="M20" s="28">
        <v>139</v>
      </c>
    </row>
    <row r="21" spans="2:13" x14ac:dyDescent="0.25">
      <c r="B21" s="35" t="s">
        <v>26</v>
      </c>
      <c r="C21" s="25">
        <v>62</v>
      </c>
      <c r="D21" s="23">
        <v>45</v>
      </c>
      <c r="E21" s="23">
        <v>62</v>
      </c>
      <c r="F21" s="23">
        <v>81</v>
      </c>
      <c r="G21" s="23">
        <v>52</v>
      </c>
      <c r="H21" s="23">
        <v>83</v>
      </c>
      <c r="I21" s="23">
        <v>81</v>
      </c>
      <c r="J21" s="23">
        <v>113</v>
      </c>
      <c r="K21" s="23">
        <v>127</v>
      </c>
      <c r="L21" s="23">
        <v>164</v>
      </c>
      <c r="M21" s="28">
        <v>156</v>
      </c>
    </row>
    <row r="22" spans="2:13" x14ac:dyDescent="0.25">
      <c r="B22" s="35" t="s">
        <v>27</v>
      </c>
      <c r="C22" s="25">
        <v>100</v>
      </c>
      <c r="D22" s="23">
        <v>64</v>
      </c>
      <c r="E22" s="23">
        <v>81</v>
      </c>
      <c r="F22" s="23">
        <v>100</v>
      </c>
      <c r="G22" s="23">
        <v>71</v>
      </c>
      <c r="H22" s="23">
        <v>102</v>
      </c>
      <c r="I22" s="23">
        <v>100</v>
      </c>
      <c r="J22" s="23">
        <v>132</v>
      </c>
      <c r="K22" s="23">
        <v>146</v>
      </c>
      <c r="L22" s="23">
        <v>183</v>
      </c>
      <c r="M22" s="28">
        <v>175</v>
      </c>
    </row>
    <row r="23" spans="2:13" x14ac:dyDescent="0.25">
      <c r="B23" s="35" t="s">
        <v>28</v>
      </c>
      <c r="C23" s="25">
        <v>42</v>
      </c>
      <c r="D23" s="23">
        <v>35</v>
      </c>
      <c r="E23" s="23">
        <v>52</v>
      </c>
      <c r="F23" s="23">
        <v>71</v>
      </c>
      <c r="G23" s="23">
        <v>42</v>
      </c>
      <c r="H23" s="23">
        <v>73</v>
      </c>
      <c r="I23" s="23">
        <v>71</v>
      </c>
      <c r="J23" s="23">
        <v>103</v>
      </c>
      <c r="K23" s="23">
        <v>117</v>
      </c>
      <c r="L23" s="23">
        <v>154</v>
      </c>
      <c r="M23" s="28">
        <v>146</v>
      </c>
    </row>
    <row r="24" spans="2:13" x14ac:dyDescent="0.25">
      <c r="B24" s="35" t="s">
        <v>29</v>
      </c>
      <c r="C24" s="25">
        <v>104</v>
      </c>
      <c r="D24" s="23">
        <v>66</v>
      </c>
      <c r="E24" s="23">
        <v>83</v>
      </c>
      <c r="F24" s="23">
        <v>102</v>
      </c>
      <c r="G24" s="23">
        <v>73</v>
      </c>
      <c r="H24" s="23">
        <v>104</v>
      </c>
      <c r="I24" s="23">
        <v>102</v>
      </c>
      <c r="J24" s="23">
        <v>134</v>
      </c>
      <c r="K24" s="23">
        <v>148</v>
      </c>
      <c r="L24" s="23">
        <v>185</v>
      </c>
      <c r="M24" s="28">
        <v>177</v>
      </c>
    </row>
    <row r="25" spans="2:13" x14ac:dyDescent="0.25">
      <c r="B25" s="36" t="s">
        <v>30</v>
      </c>
      <c r="C25" s="33">
        <v>100</v>
      </c>
      <c r="D25" s="23">
        <v>64</v>
      </c>
      <c r="E25" s="23">
        <v>81</v>
      </c>
      <c r="F25" s="23">
        <v>100</v>
      </c>
      <c r="G25" s="23">
        <v>71</v>
      </c>
      <c r="H25" s="23">
        <v>102</v>
      </c>
      <c r="I25" s="23">
        <v>100</v>
      </c>
      <c r="J25" s="23">
        <v>132</v>
      </c>
      <c r="K25" s="23">
        <v>146</v>
      </c>
      <c r="L25" s="23">
        <v>183</v>
      </c>
      <c r="M25" s="28">
        <v>175</v>
      </c>
    </row>
    <row r="26" spans="2:13" x14ac:dyDescent="0.25">
      <c r="B26" s="36" t="s">
        <v>31</v>
      </c>
      <c r="C26" s="33">
        <v>164</v>
      </c>
      <c r="D26" s="23">
        <v>96</v>
      </c>
      <c r="E26" s="23">
        <v>113</v>
      </c>
      <c r="F26" s="23">
        <v>132</v>
      </c>
      <c r="G26" s="23">
        <v>103</v>
      </c>
      <c r="H26" s="23">
        <v>134</v>
      </c>
      <c r="I26" s="23">
        <v>132</v>
      </c>
      <c r="J26" s="23">
        <v>164</v>
      </c>
      <c r="K26" s="23">
        <v>178</v>
      </c>
      <c r="L26" s="23">
        <v>215</v>
      </c>
      <c r="M26" s="28">
        <v>207</v>
      </c>
    </row>
    <row r="27" spans="2:13" ht="15.75" thickBot="1" x14ac:dyDescent="0.3">
      <c r="B27" s="36" t="s">
        <v>32</v>
      </c>
      <c r="C27" s="33">
        <v>192</v>
      </c>
      <c r="D27" s="23">
        <v>110</v>
      </c>
      <c r="E27" s="23">
        <v>127</v>
      </c>
      <c r="F27" s="23">
        <v>146</v>
      </c>
      <c r="G27" s="23">
        <v>117</v>
      </c>
      <c r="H27" s="23">
        <v>148</v>
      </c>
      <c r="I27" s="23">
        <v>146</v>
      </c>
      <c r="J27" s="23">
        <v>178</v>
      </c>
      <c r="K27" s="23">
        <v>192</v>
      </c>
      <c r="L27" s="26">
        <v>229</v>
      </c>
      <c r="M27" s="28">
        <v>221</v>
      </c>
    </row>
    <row r="28" spans="2:13" ht="15.75" thickBot="1" x14ac:dyDescent="0.3">
      <c r="B28" s="36" t="s">
        <v>36</v>
      </c>
      <c r="C28" s="33">
        <v>267</v>
      </c>
      <c r="D28" s="23">
        <v>147</v>
      </c>
      <c r="E28" s="23">
        <v>164</v>
      </c>
      <c r="F28" s="23">
        <v>183</v>
      </c>
      <c r="G28" s="23">
        <v>154</v>
      </c>
      <c r="H28" s="23">
        <v>185</v>
      </c>
      <c r="I28" s="23">
        <v>183</v>
      </c>
      <c r="J28" s="23">
        <v>215</v>
      </c>
      <c r="K28" s="24">
        <v>229</v>
      </c>
      <c r="L28" s="44">
        <v>267</v>
      </c>
      <c r="M28" s="29">
        <v>259</v>
      </c>
    </row>
    <row r="29" spans="2:13" ht="15.75" thickBot="1" x14ac:dyDescent="0.3">
      <c r="B29" s="37" t="s">
        <v>34</v>
      </c>
      <c r="C29" s="34">
        <v>251</v>
      </c>
      <c r="D29" s="30">
        <v>139</v>
      </c>
      <c r="E29" s="30">
        <v>156</v>
      </c>
      <c r="F29" s="30">
        <v>175</v>
      </c>
      <c r="G29" s="30">
        <v>146</v>
      </c>
      <c r="H29" s="30">
        <v>177</v>
      </c>
      <c r="I29" s="30">
        <v>175</v>
      </c>
      <c r="J29" s="30">
        <v>207</v>
      </c>
      <c r="K29" s="30">
        <v>221</v>
      </c>
      <c r="L29" s="31">
        <v>259</v>
      </c>
      <c r="M29" s="32">
        <v>251</v>
      </c>
    </row>
    <row r="31" spans="2:13" x14ac:dyDescent="0.25">
      <c r="B31" s="45" t="s">
        <v>37</v>
      </c>
    </row>
    <row r="33" spans="1:17" ht="18" x14ac:dyDescent="0.35">
      <c r="A33" t="s">
        <v>3</v>
      </c>
      <c r="B33" t="s">
        <v>38</v>
      </c>
    </row>
    <row r="34" spans="1:17" ht="18" x14ac:dyDescent="0.35">
      <c r="B34" s="5" t="s">
        <v>39</v>
      </c>
      <c r="C34" s="48">
        <f>G13/267</f>
        <v>201.19850187265916</v>
      </c>
      <c r="D34" t="s">
        <v>40</v>
      </c>
    </row>
    <row r="37" spans="1:17" ht="96" customHeight="1" x14ac:dyDescent="0.25">
      <c r="A37" s="1">
        <v>2</v>
      </c>
      <c r="B37" s="56" t="s">
        <v>42</v>
      </c>
      <c r="C37" s="56"/>
      <c r="D37" s="56"/>
      <c r="E37" s="56"/>
      <c r="F37" s="56"/>
      <c r="G37" s="56"/>
      <c r="H37" s="56"/>
      <c r="I37" s="56"/>
      <c r="J37" s="56"/>
      <c r="K37" s="56"/>
      <c r="L37" s="56"/>
      <c r="M37" s="56"/>
      <c r="N37" s="56"/>
      <c r="O37" s="56"/>
      <c r="P37" s="56"/>
      <c r="Q37" s="56"/>
    </row>
    <row r="39" spans="1:17" x14ac:dyDescent="0.25">
      <c r="B39" t="s">
        <v>44</v>
      </c>
    </row>
    <row r="40" spans="1:17" x14ac:dyDescent="0.25">
      <c r="B40" t="s">
        <v>45</v>
      </c>
      <c r="D40" s="2">
        <f>300000/28</f>
        <v>10714.285714285714</v>
      </c>
      <c r="E40" t="s">
        <v>46</v>
      </c>
    </row>
    <row r="41" spans="1:17" x14ac:dyDescent="0.25">
      <c r="B41" t="s">
        <v>47</v>
      </c>
      <c r="D41">
        <v>2</v>
      </c>
    </row>
    <row r="42" spans="1:17" x14ac:dyDescent="0.25">
      <c r="B42" t="s">
        <v>48</v>
      </c>
      <c r="D42" s="2">
        <f>D41*D40</f>
        <v>21428.571428571428</v>
      </c>
    </row>
    <row r="43" spans="1:17" x14ac:dyDescent="0.25">
      <c r="B43" t="s">
        <v>50</v>
      </c>
      <c r="D43" s="3">
        <v>1.5400000000000001E-10</v>
      </c>
      <c r="E43" t="s">
        <v>4</v>
      </c>
    </row>
    <row r="44" spans="1:17" x14ac:dyDescent="0.25">
      <c r="B44" t="s">
        <v>51</v>
      </c>
      <c r="D44">
        <v>109</v>
      </c>
      <c r="E44" t="s">
        <v>52</v>
      </c>
    </row>
    <row r="46" spans="1:17" x14ac:dyDescent="0.25">
      <c r="B46" t="s">
        <v>49</v>
      </c>
      <c r="C46" s="3">
        <f>D42*D43*ABS(SIN(D44/2))</f>
        <v>2.9303202665142894E-6</v>
      </c>
      <c r="D46" t="s">
        <v>4</v>
      </c>
      <c r="E46" s="46">
        <f>C46*1000000</f>
        <v>2.9303202665142893</v>
      </c>
      <c r="F46" t="s">
        <v>53</v>
      </c>
    </row>
    <row r="47" spans="1:17" x14ac:dyDescent="0.25">
      <c r="B47" t="s">
        <v>54</v>
      </c>
      <c r="C47" s="3">
        <f>D43*D42^0.5</f>
        <v>2.2543291685111117E-8</v>
      </c>
      <c r="D47" t="s">
        <v>4</v>
      </c>
      <c r="E47" s="47">
        <f>C47*1000000000</f>
        <v>22.543291685111118</v>
      </c>
      <c r="F47" t="s">
        <v>55</v>
      </c>
    </row>
    <row r="50" spans="1:17" ht="35.25" customHeight="1" x14ac:dyDescent="0.25">
      <c r="A50" s="1">
        <v>3</v>
      </c>
      <c r="B50" s="56" t="s">
        <v>56</v>
      </c>
      <c r="C50" s="56"/>
      <c r="D50" s="56"/>
      <c r="E50" s="56"/>
      <c r="F50" s="56"/>
      <c r="G50" s="56"/>
      <c r="H50" s="56"/>
      <c r="I50" s="56"/>
      <c r="J50" s="56"/>
      <c r="K50" s="56"/>
      <c r="L50" s="56"/>
      <c r="M50" s="56"/>
      <c r="N50" s="56"/>
      <c r="O50" s="56"/>
      <c r="P50" s="56"/>
      <c r="Q50" s="56"/>
    </row>
    <row r="52" spans="1:17" x14ac:dyDescent="0.25">
      <c r="B52" t="s">
        <v>57</v>
      </c>
      <c r="D52" s="3">
        <v>1000000</v>
      </c>
      <c r="E52" t="s">
        <v>43</v>
      </c>
    </row>
    <row r="53" spans="1:17" x14ac:dyDescent="0.25">
      <c r="B53" t="s">
        <v>58</v>
      </c>
      <c r="D53">
        <f>3+12*3+14</f>
        <v>53</v>
      </c>
      <c r="E53" t="s">
        <v>43</v>
      </c>
    </row>
    <row r="54" spans="1:17" x14ac:dyDescent="0.25">
      <c r="B54" t="s">
        <v>59</v>
      </c>
      <c r="D54">
        <f>4*12+6</f>
        <v>54</v>
      </c>
      <c r="E54" t="s">
        <v>43</v>
      </c>
    </row>
    <row r="55" spans="1:17" x14ac:dyDescent="0.25">
      <c r="B55" t="s">
        <v>60</v>
      </c>
      <c r="D55">
        <f>D54+D53</f>
        <v>107</v>
      </c>
      <c r="E55" t="s">
        <v>43</v>
      </c>
    </row>
    <row r="57" spans="1:17" x14ac:dyDescent="0.25">
      <c r="B57" t="s">
        <v>61</v>
      </c>
      <c r="D57" s="2">
        <f>D52/D55</f>
        <v>9345.7943925233649</v>
      </c>
      <c r="E57" t="s">
        <v>62</v>
      </c>
    </row>
    <row r="60" spans="1:17" ht="35.25" customHeight="1" x14ac:dyDescent="0.25">
      <c r="A60" s="1">
        <v>4</v>
      </c>
      <c r="B60" s="56" t="s">
        <v>63</v>
      </c>
      <c r="C60" s="56"/>
      <c r="D60" s="56"/>
      <c r="E60" s="56"/>
      <c r="F60" s="56"/>
      <c r="G60" s="56"/>
      <c r="H60" s="56"/>
      <c r="I60" s="56"/>
      <c r="J60" s="56"/>
      <c r="K60" s="56"/>
      <c r="L60" s="56"/>
      <c r="M60" s="56"/>
      <c r="N60" s="56"/>
      <c r="O60" s="56"/>
      <c r="P60" s="56"/>
      <c r="Q60" s="56"/>
    </row>
    <row r="62" spans="1:17" x14ac:dyDescent="0.25">
      <c r="B62" t="s">
        <v>45</v>
      </c>
      <c r="D62">
        <v>1500</v>
      </c>
    </row>
    <row r="63" spans="1:17" x14ac:dyDescent="0.25">
      <c r="B63" t="s">
        <v>64</v>
      </c>
      <c r="D63">
        <f>8+12*4</f>
        <v>56</v>
      </c>
      <c r="E63" t="s">
        <v>43</v>
      </c>
    </row>
    <row r="64" spans="1:17" x14ac:dyDescent="0.25">
      <c r="B64" t="s">
        <v>65</v>
      </c>
      <c r="D64">
        <f>8+12*5</f>
        <v>68</v>
      </c>
      <c r="E64" t="s">
        <v>43</v>
      </c>
    </row>
    <row r="65" spans="1:17" x14ac:dyDescent="0.25">
      <c r="B65" t="s">
        <v>66</v>
      </c>
      <c r="D65">
        <v>0.25</v>
      </c>
    </row>
    <row r="66" spans="1:17" x14ac:dyDescent="0.25">
      <c r="B66" t="s">
        <v>67</v>
      </c>
      <c r="D66">
        <f>1-D65</f>
        <v>0.75</v>
      </c>
    </row>
    <row r="68" spans="1:17" x14ac:dyDescent="0.25">
      <c r="B68" t="s">
        <v>68</v>
      </c>
      <c r="H68">
        <f>D66*D64+D65*D63</f>
        <v>65</v>
      </c>
      <c r="I68" t="s">
        <v>43</v>
      </c>
    </row>
    <row r="70" spans="1:17" x14ac:dyDescent="0.25">
      <c r="B70" t="s">
        <v>69</v>
      </c>
      <c r="D70">
        <f>H68*D62</f>
        <v>97500</v>
      </c>
      <c r="E70" t="s">
        <v>43</v>
      </c>
    </row>
    <row r="73" spans="1:17" ht="85.5" customHeight="1" x14ac:dyDescent="0.25">
      <c r="A73" s="1">
        <v>5</v>
      </c>
      <c r="B73" s="56" t="s">
        <v>72</v>
      </c>
      <c r="C73" s="56"/>
      <c r="D73" s="56"/>
      <c r="E73" s="56"/>
      <c r="F73" s="56"/>
      <c r="G73" s="56"/>
      <c r="H73" s="56"/>
      <c r="I73" s="56"/>
      <c r="J73" s="56"/>
      <c r="K73" s="56"/>
      <c r="L73" s="56"/>
      <c r="M73" s="56"/>
      <c r="N73" s="56"/>
      <c r="O73" s="56"/>
      <c r="P73" s="56"/>
      <c r="Q73" s="56"/>
    </row>
    <row r="75" spans="1:17" ht="17.25" x14ac:dyDescent="0.25">
      <c r="B75" t="s">
        <v>70</v>
      </c>
      <c r="C75" s="3">
        <f>J75*(K75+L75)^0.5</f>
        <v>3.0979288306814642E-28</v>
      </c>
      <c r="D75" t="s">
        <v>74</v>
      </c>
      <c r="E75" s="3">
        <f>C75*1000000</f>
        <v>3.0979288306814642E-22</v>
      </c>
      <c r="F75" t="s">
        <v>75</v>
      </c>
      <c r="I75" t="s">
        <v>73</v>
      </c>
      <c r="J75">
        <f>0.000000000497*0.000000000547*0.000000001729</f>
        <v>4.7004421099999995E-28</v>
      </c>
      <c r="K75">
        <f>1-(COS(RADIANS(48.4)))^2-(COS(RADIANS(76.6)))^2-(COS(RADIANS(62.5)))^2</f>
        <v>0.29228311155483633</v>
      </c>
      <c r="L75">
        <f>2*COS(RADIANS(48.4))*COS(RADIANS(76.6))*(COS(RADIANS(62.5)))</f>
        <v>0.1420925227608702</v>
      </c>
    </row>
    <row r="76" spans="1:17" x14ac:dyDescent="0.25">
      <c r="B76" t="s">
        <v>76</v>
      </c>
      <c r="E76" s="3">
        <f>E75*1.213</f>
        <v>3.7577876716166164E-22</v>
      </c>
      <c r="F76" t="s">
        <v>77</v>
      </c>
    </row>
    <row r="77" spans="1:17" x14ac:dyDescent="0.25">
      <c r="B77" t="s">
        <v>71</v>
      </c>
      <c r="D77">
        <f>10*(2+12)+2*(12+16)+2*(14+1)</f>
        <v>226</v>
      </c>
      <c r="E77" t="s">
        <v>43</v>
      </c>
    </row>
    <row r="78" spans="1:17" x14ac:dyDescent="0.25">
      <c r="B78" t="s">
        <v>78</v>
      </c>
      <c r="G78" s="49">
        <f>E76/D77*6.02E+23</f>
        <v>1.0009682204925676</v>
      </c>
      <c r="H78" t="s">
        <v>79</v>
      </c>
    </row>
    <row r="81" spans="1:17" ht="21.75" thickBot="1" x14ac:dyDescent="0.3">
      <c r="A81" s="1">
        <v>6</v>
      </c>
      <c r="B81" s="56" t="s">
        <v>80</v>
      </c>
      <c r="C81" s="56"/>
      <c r="D81" s="56"/>
      <c r="E81" s="56"/>
      <c r="F81" s="56"/>
      <c r="G81" s="56"/>
      <c r="H81" s="56"/>
      <c r="I81" s="56"/>
      <c r="J81" s="56"/>
      <c r="K81" s="56"/>
      <c r="L81" s="56"/>
      <c r="M81" s="56"/>
      <c r="N81" s="56"/>
      <c r="O81" s="56"/>
      <c r="P81" s="56"/>
      <c r="Q81" s="56"/>
    </row>
    <row r="82" spans="1:17" x14ac:dyDescent="0.25">
      <c r="B82" s="61" t="s">
        <v>81</v>
      </c>
      <c r="C82" s="61" t="s">
        <v>82</v>
      </c>
    </row>
    <row r="83" spans="1:17" ht="15.75" thickBot="1" x14ac:dyDescent="0.3">
      <c r="B83" s="62"/>
      <c r="C83" s="62"/>
    </row>
    <row r="84" spans="1:17" ht="15.75" thickBot="1" x14ac:dyDescent="0.3">
      <c r="B84" s="9">
        <v>0.96499999999999997</v>
      </c>
      <c r="C84" s="11">
        <v>76.8</v>
      </c>
    </row>
    <row r="85" spans="1:17" ht="15.75" thickBot="1" x14ac:dyDescent="0.3">
      <c r="B85" s="9">
        <v>0.92500000000000004</v>
      </c>
      <c r="C85" s="11">
        <v>46.4</v>
      </c>
    </row>
    <row r="86" spans="1:17" ht="32.25" customHeight="1" x14ac:dyDescent="0.25">
      <c r="B86" s="56" t="s">
        <v>83</v>
      </c>
      <c r="C86" s="56"/>
      <c r="D86" s="56"/>
      <c r="E86" s="56"/>
      <c r="F86" s="56"/>
      <c r="G86" s="56"/>
      <c r="H86" s="56"/>
      <c r="I86" s="56"/>
      <c r="J86" s="56"/>
      <c r="K86" s="56"/>
      <c r="L86" s="56"/>
      <c r="M86" s="56"/>
      <c r="N86" s="56"/>
      <c r="O86" s="56"/>
      <c r="P86" s="56"/>
      <c r="Q86" s="56"/>
    </row>
    <row r="87" spans="1:17" x14ac:dyDescent="0.25">
      <c r="F87" s="59" t="s">
        <v>87</v>
      </c>
      <c r="G87" s="59"/>
      <c r="H87" s="59"/>
      <c r="I87" s="59"/>
    </row>
    <row r="88" spans="1:17" ht="17.25" x14ac:dyDescent="0.25">
      <c r="A88" t="s">
        <v>1</v>
      </c>
      <c r="B88" s="50" t="s">
        <v>84</v>
      </c>
      <c r="F88" t="s">
        <v>85</v>
      </c>
      <c r="G88" s="59" t="s">
        <v>86</v>
      </c>
      <c r="H88" s="59"/>
      <c r="I88" t="s">
        <v>88</v>
      </c>
    </row>
    <row r="89" spans="1:17" x14ac:dyDescent="0.25">
      <c r="B89" t="s">
        <v>89</v>
      </c>
    </row>
    <row r="91" spans="1:17" x14ac:dyDescent="0.25">
      <c r="B91" t="s">
        <v>90</v>
      </c>
    </row>
    <row r="92" spans="1:17" x14ac:dyDescent="0.25">
      <c r="B92" t="s">
        <v>91</v>
      </c>
      <c r="E92" t="s">
        <v>93</v>
      </c>
    </row>
    <row r="93" spans="1:17" x14ac:dyDescent="0.25">
      <c r="B93" t="s">
        <v>92</v>
      </c>
      <c r="E93" t="s">
        <v>94</v>
      </c>
    </row>
    <row r="95" spans="1:17" x14ac:dyDescent="0.25">
      <c r="B95" t="s">
        <v>96</v>
      </c>
      <c r="D95" t="s">
        <v>106</v>
      </c>
    </row>
    <row r="97" spans="1:12" x14ac:dyDescent="0.25">
      <c r="B97" t="s">
        <v>97</v>
      </c>
      <c r="D97" t="s">
        <v>107</v>
      </c>
    </row>
    <row r="99" spans="1:12" x14ac:dyDescent="0.25">
      <c r="B99" t="s">
        <v>111</v>
      </c>
    </row>
    <row r="100" spans="1:12" x14ac:dyDescent="0.25">
      <c r="C100" t="s">
        <v>99</v>
      </c>
      <c r="D100" t="s">
        <v>100</v>
      </c>
      <c r="E100" t="s">
        <v>101</v>
      </c>
      <c r="F100" t="s">
        <v>102</v>
      </c>
      <c r="G100" t="s">
        <v>103</v>
      </c>
      <c r="H100" t="s">
        <v>104</v>
      </c>
      <c r="I100" t="s">
        <v>105</v>
      </c>
      <c r="J100" t="s">
        <v>108</v>
      </c>
      <c r="K100" t="s">
        <v>109</v>
      </c>
      <c r="L100" t="s">
        <v>110</v>
      </c>
    </row>
    <row r="101" spans="1:12" x14ac:dyDescent="0.25">
      <c r="B101" t="s">
        <v>95</v>
      </c>
      <c r="C101" s="51">
        <v>1</v>
      </c>
      <c r="D101" s="52">
        <f>(0.768*0.965*C102)/(0.768*0.965-0.965+C102)</f>
        <v>1.0291189335555091</v>
      </c>
      <c r="E101" s="52">
        <f t="shared" ref="E101:L101" si="2">(0.768*0.965*D102)/(0.768*0.965-0.965+D102)</f>
        <v>0.99847286466372298</v>
      </c>
      <c r="F101" s="52">
        <f t="shared" si="2"/>
        <v>1.0059044737853695</v>
      </c>
      <c r="G101" s="52">
        <f t="shared" si="2"/>
        <v>0.99807428021851019</v>
      </c>
      <c r="H101" s="52">
        <f t="shared" si="2"/>
        <v>1.0000055149707094</v>
      </c>
      <c r="I101" s="52">
        <f t="shared" si="2"/>
        <v>0.99797010088721128</v>
      </c>
      <c r="J101" s="53">
        <f t="shared" si="2"/>
        <v>0.99847430244866009</v>
      </c>
      <c r="K101" s="53">
        <f t="shared" si="2"/>
        <v>0.99794286106098595</v>
      </c>
      <c r="L101" s="54">
        <f t="shared" si="2"/>
        <v>0.9980746559059005</v>
      </c>
    </row>
    <row r="102" spans="1:12" x14ac:dyDescent="0.25">
      <c r="B102" t="s">
        <v>98</v>
      </c>
      <c r="C102" s="51">
        <v>0.8</v>
      </c>
      <c r="D102" s="52">
        <f>C101*(0.464*0.925-0.925)/(0.464*0.925-C101)</f>
        <v>0.8686054660126139</v>
      </c>
      <c r="E102" s="52">
        <f t="shared" ref="E102:L102" si="3">D101*(0.464*0.925-0.925)/(0.464*0.925-D101)</f>
        <v>0.85051019182345977</v>
      </c>
      <c r="F102" s="52">
        <f t="shared" si="3"/>
        <v>0.86960555654220806</v>
      </c>
      <c r="G102" s="52">
        <f t="shared" si="3"/>
        <v>0.86478857156984057</v>
      </c>
      <c r="H102" s="52">
        <f t="shared" si="3"/>
        <v>0.86986746516693025</v>
      </c>
      <c r="I102" s="52">
        <f t="shared" si="3"/>
        <v>0.86860186406559092</v>
      </c>
      <c r="J102" s="53">
        <f t="shared" si="3"/>
        <v>0.86993598159970509</v>
      </c>
      <c r="K102" s="53">
        <f t="shared" si="3"/>
        <v>0.86960461244198028</v>
      </c>
      <c r="L102" s="54">
        <f t="shared" si="3"/>
        <v>0.86995390076813972</v>
      </c>
    </row>
    <row r="103" spans="1:12" x14ac:dyDescent="0.25">
      <c r="J103" s="60" t="s">
        <v>112</v>
      </c>
      <c r="K103" s="60"/>
      <c r="L103" s="60"/>
    </row>
    <row r="104" spans="1:12" x14ac:dyDescent="0.25">
      <c r="A104" t="s">
        <v>2</v>
      </c>
      <c r="B104" t="s">
        <v>113</v>
      </c>
      <c r="C104" s="47">
        <f>100*L101*(0.95-L102)/0.95/(L101-L102)</f>
        <v>65.638720334409925</v>
      </c>
      <c r="D104" t="s">
        <v>114</v>
      </c>
    </row>
    <row r="108" spans="1:12" x14ac:dyDescent="0.25">
      <c r="C108" s="63"/>
    </row>
    <row r="109" spans="1:12" x14ac:dyDescent="0.25">
      <c r="C109" s="63"/>
    </row>
  </sheetData>
  <mergeCells count="14">
    <mergeCell ref="B86:Q86"/>
    <mergeCell ref="F87:I87"/>
    <mergeCell ref="G88:H88"/>
    <mergeCell ref="J103:L103"/>
    <mergeCell ref="B60:Q60"/>
    <mergeCell ref="B73:Q73"/>
    <mergeCell ref="B81:Q81"/>
    <mergeCell ref="B82:B83"/>
    <mergeCell ref="C82:C83"/>
    <mergeCell ref="B1:N1"/>
    <mergeCell ref="B2:Q2"/>
    <mergeCell ref="D12:E13"/>
    <mergeCell ref="B37:Q37"/>
    <mergeCell ref="B50:Q5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Alpha</dc:creator>
  <cp:lastModifiedBy>Alfa</cp:lastModifiedBy>
  <dcterms:created xsi:type="dcterms:W3CDTF">2014-05-16T13:52:52Z</dcterms:created>
  <dcterms:modified xsi:type="dcterms:W3CDTF">2014-05-31T19:09:09Z</dcterms:modified>
</cp:coreProperties>
</file>